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Topholding/"/>
    </mc:Choice>
  </mc:AlternateContent>
  <xr:revisionPtr revIDLastSave="10374" documentId="8_{6E3FBC3E-1466-4668-B1AF-52F7AEEA619C}" xr6:coauthVersionLast="47" xr6:coauthVersionMax="47" xr10:uidLastSave="{B047F887-9B6D-48C3-B1C7-F1F2DE1A2323}"/>
  <bookViews>
    <workbookView xWindow="-120" yWindow="-120" windowWidth="38640" windowHeight="2112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Glosary" sheetId="40" r:id="rId12"/>
    <sheet name="Disclaimer" sheetId="3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_________PEY08">#REF!</definedName>
    <definedName name="__________PEY09" localSheetId="11">[1]Control!$B$10</definedName>
    <definedName name="__________PEY09">#REF!</definedName>
    <definedName name="_________PEY08" localSheetId="11">#REF!</definedName>
    <definedName name="_________PEY08">#REF!</definedName>
    <definedName name="_________PEY09" localSheetId="11">#REF!</definedName>
    <definedName name="_________PEY09">#REF!</definedName>
    <definedName name="________PEY08" localSheetId="11">#REF!</definedName>
    <definedName name="________PEY08">#REF!</definedName>
    <definedName name="________PEY09" localSheetId="11">#REF!</definedName>
    <definedName name="________PEY09">#REF!</definedName>
    <definedName name="_______PEY08" localSheetId="11">#REF!</definedName>
    <definedName name="_______PEY08">#REF!</definedName>
    <definedName name="_______PEY09" localSheetId="11">#REF!</definedName>
    <definedName name="_______PEY09">#REF!</definedName>
    <definedName name="______PEY08" localSheetId="11">#REF!</definedName>
    <definedName name="______PEY08">#REF!</definedName>
    <definedName name="______PEY09" localSheetId="11">#REF!</definedName>
    <definedName name="______PEY09">#REF!</definedName>
    <definedName name="_____PEY08" localSheetId="11">#REF!</definedName>
    <definedName name="_____PEY08">#REF!</definedName>
    <definedName name="_____PEY09" localSheetId="11">#REF!</definedName>
    <definedName name="_____PEY09">#REF!</definedName>
    <definedName name="____PEY08" localSheetId="11">#REF!</definedName>
    <definedName name="____PEY08">#REF!</definedName>
    <definedName name="____PEY09" localSheetId="11">#REF!</definedName>
    <definedName name="____PEY09">#REF!</definedName>
    <definedName name="___For2002">#REF!</definedName>
    <definedName name="___PEY08" localSheetId="11">[2]CONTROL!$B$9</definedName>
    <definedName name="___PEY08">#REF!</definedName>
    <definedName name="___PEY09" localSheetId="11">#REF!</definedName>
    <definedName name="___PEY09">#REF!</definedName>
    <definedName name="___RU1" localSheetId="11">[3]DP!$C$7</definedName>
    <definedName name="___RU1">#REF!</definedName>
    <definedName name="___RU2">#REF!</definedName>
    <definedName name="___RU3">[3]DP!$C$11</definedName>
    <definedName name="__123Graph_A" hidden="1">#REF!</definedName>
    <definedName name="__123Graph_AChart1" hidden="1">#REF!</definedName>
    <definedName name="__123Graph_ACurrent" hidden="1">#REF!</definedName>
    <definedName name="__123Graph_B" hidden="1">#REF!</definedName>
    <definedName name="__123Graph_X" hidden="1">#REF!</definedName>
    <definedName name="__A11" hidden="1">{#N/A,#N/A,FALSE,"Umsatz 99";#N/A,#N/A,FALSE,"ER 99 "}</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or2002">#REF!</definedName>
    <definedName name="__PEY08">#REF!</definedName>
    <definedName name="__PEY09">#REF!</definedName>
    <definedName name="__Q3" hidden="1">{"SchD1",#N/A,FALSE,"Schedules";"SchD2",#N/A,FALSE,"Schedules"}</definedName>
    <definedName name="__RU1">[3]DP!$C$7</definedName>
    <definedName name="__RU2" localSheetId="11">[3]DP!$C$9</definedName>
    <definedName name="__RU2">#REF!</definedName>
    <definedName name="__RU3" localSheetId="11">[3]DP!$C$11</definedName>
    <definedName name="__RU3">#REF!</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0_0_K"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123Graph_ACHART_11"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hidden="1">{#N/A,#N/A,FALSE,"²Ä1­Ó¤ë"}</definedName>
    <definedName name="_2__123Graph_ACHART_100" hidden="1">#REF!</definedName>
    <definedName name="_2_0_0_S" hidden="1">#REF!</definedName>
    <definedName name="_20__123Graph_ACHART_117" hidden="1">#REF!</definedName>
    <definedName name="_200__123Graph_BCHART_28" hidden="1">#N/A</definedName>
    <definedName name="_201__123Graph_BCHART_29" hidden="1">#REF!</definedName>
    <definedName name="_2017" localSheetId="11">#REF!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123Graph_ACHART_101"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123Graph_ACHART_102"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123Graph_ACHART_103"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123Graph_ACHART_107"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1" hidden="1">{#N/A,#N/A,FALSE,"Umsatz 99";#N/A,#N/A,FALSE,"ER 99 "}</definedName>
    <definedName name="_ADR1" localSheetId="11">'[4]Mode d emploie et exemple'!$C$9</definedName>
    <definedName name="_ADR1">#REF!</definedName>
    <definedName name="_ADR2">#REF!</definedName>
    <definedName name="_ADR3" localSheetId="11">'[4]Mode d emploie et exemple'!$C$11</definedName>
    <definedName name="_ADR3">#REF!</definedName>
    <definedName name="_ADR4" localSheetId="11">#REF!</definedName>
    <definedName name="_ADR4">#REF!</definedName>
    <definedName name="_ADR5" localSheetId="11">'[4]Mode d emploie et exemple'!$C$13</definedName>
    <definedName name="_ADR5">#REF!</definedName>
    <definedName name="_ASD1" localSheetId="11">#REF!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c" hidden="1">{"Fiesta Facer Page",#N/A,FALSE,"Q_C_S";"Fiesta Main Page",#N/A,FALSE,"V_L";"Fiesta 95BP Struct",#N/A,FALSE,"StructBP";"Fiesta Post 95BP Struct",#N/A,FALSE,"AdjStructBP"}</definedName>
    <definedName name="_CCS10" localSheetId="11">#REF!</definedName>
    <definedName name="_CCS10">#REF!</definedName>
    <definedName name="_CCS5" localSheetId="11">#REF!</definedName>
    <definedName name="_CCS5">#REF!</definedName>
    <definedName name="_CCS6" localSheetId="11">#REF!</definedName>
    <definedName name="_CCS6">#REF!</definedName>
    <definedName name="_CCS7" localSheetId="11">[5]Intro!$I$17</definedName>
    <definedName name="_CCS7">#REF!</definedName>
    <definedName name="_CCS8" localSheetId="11">#REF!</definedName>
    <definedName name="_CCS8">#REF!</definedName>
    <definedName name="_CCS9" localSheetId="11">[5]Intro!$K$17</definedName>
    <definedName name="_CCS9">#REF!</definedName>
    <definedName name="_CCY1">#REF!</definedName>
    <definedName name="_CCY2">#REF!</definedName>
    <definedName name="_CTR10" localSheetId="11">#REF!</definedName>
    <definedName name="_CTR10">#REF!</definedName>
    <definedName name="_CTR4" localSheetId="11">#REF!</definedName>
    <definedName name="_CTR4">#REF!</definedName>
    <definedName name="_CTR5" localSheetId="11">#REF!</definedName>
    <definedName name="_CTR5">#REF!</definedName>
    <definedName name="_CTR6" localSheetId="11">#REF!</definedName>
    <definedName name="_CTR6">#REF!</definedName>
    <definedName name="_CTR7" localSheetId="11">#REF!</definedName>
    <definedName name="_CTR7">#REF!</definedName>
    <definedName name="_ctr777" localSheetId="11">#REF!</definedName>
    <definedName name="_ctr777">#REF!</definedName>
    <definedName name="_CTR8" localSheetId="11">#REF!</definedName>
    <definedName name="_CTR8">#REF!</definedName>
    <definedName name="_CTR9">#REF!</definedName>
    <definedName name="_Fill" hidden="1">#REF!</definedName>
    <definedName name="_For2002" localSheetId="11">#REF!</definedName>
    <definedName name="_For2002">#REF!</definedName>
    <definedName name="_GSRATES_1" hidden="1">"CT300001Latest          "</definedName>
    <definedName name="_GSRATES_COUNT" hidden="1">1</definedName>
    <definedName name="_IMI10" localSheetId="11">#REF!</definedName>
    <definedName name="_IMI10">#REF!</definedName>
    <definedName name="_IMI5" localSheetId="11">#REF!</definedName>
    <definedName name="_IMI5">#REF!</definedName>
    <definedName name="_IMI6" localSheetId="11">#REF!</definedName>
    <definedName name="_IMI6">#REF!</definedName>
    <definedName name="_IMI7" localSheetId="11">#REF!</definedName>
    <definedName name="_IMI7">#REF!</definedName>
    <definedName name="_IMI8" localSheetId="11">#REF!</definedName>
    <definedName name="_IMI8">#REF!</definedName>
    <definedName name="_IMI9" localSheetId="11">[5]Intro!$K$24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hidden="1">{"Gen Sheet",#N/A,FALSE,"Gen Sheet"}</definedName>
    <definedName name="_Manual_permitido" comment="Palabras permitidas" localSheetId="11">#REF!</definedName>
    <definedName name="_Manual_permitido" comment="Palabras permitidas">#REF!</definedName>
    <definedName name="_meh12" localSheetId="11">#REF!</definedName>
    <definedName name="_meh12">#REF!</definedName>
    <definedName name="_meh13" localSheetId="11">#REF!</definedName>
    <definedName name="_meh13">#REF!</definedName>
    <definedName name="_Order1" hidden="1">255</definedName>
    <definedName name="_Order2" hidden="1">255</definedName>
    <definedName name="_PEY08">#REF!</definedName>
    <definedName name="_PEY09" localSheetId="11">#REF!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hidden="1">{"SchD1",#N/A,FALSE,"Schedules";"SchD2",#N/A,FALSE,"Schedules"}</definedName>
    <definedName name="_RU1" localSheetId="11">#REF!</definedName>
    <definedName name="_RU1">#REF!</definedName>
    <definedName name="_RU2" localSheetId="11">#REF!</definedName>
    <definedName name="_RU2">#REF!</definedName>
    <definedName name="_RU3" localSheetId="11">#REF!</definedName>
    <definedName name="_RU3">#REF!</definedName>
    <definedName name="_SAD1" localSheetId="11">#REF!</definedName>
    <definedName name="_SAD1">#REF!</definedName>
    <definedName name="_Sort" hidden="1">#REF!</definedName>
    <definedName name="_Table2_Out" hidden="1">#REF!</definedName>
    <definedName name="_WC1">#REF!</definedName>
    <definedName name="_WC2">#REF!</definedName>
    <definedName name="_WC5">#REF!</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1">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1">#REF!</definedName>
    <definedName name="_xlcn.LinkedTable_Kalendar1">#REF!</definedName>
    <definedName name="_xlcn.LinkedTable_Kalendar21" localSheetId="11">#REF!</definedName>
    <definedName name="_xlcn.LinkedTable_Kalendar21">#REF!</definedName>
    <definedName name="_xlcn.LinkedTable_PG1" localSheetId="11">[6]!PG[#Data]</definedName>
    <definedName name="_xlcn.LinkedTable_PG1">#REF!</definedName>
    <definedName name="_xlcn.LinkedTable_Table11" localSheetId="11">#REF!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1">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1">#REF!</definedName>
    <definedName name="_xlcn.WorksheetConnection_GraphdataB61H711">#REF!</definedName>
    <definedName name="_YE1">#REF!</definedName>
    <definedName name="_YE2">#REF!</definedName>
    <definedName name="_YE3">#REF!</definedName>
    <definedName name="a">#REF!</definedName>
    <definedName name="aa" hidden="1">#REF!</definedName>
    <definedName name="aaa" localSheetId="11">#REF!</definedName>
    <definedName name="aaa">#REF!</definedName>
    <definedName name="AAA_DOCTOPS" hidden="1">"AAA_SET"</definedName>
    <definedName name="AAA_duser" hidden="1">"OFF"</definedName>
    <definedName name="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ssy">#REF!</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soluteCashflowTarget" localSheetId="11">#REF!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1">#REF!</definedName>
    <definedName name="AccountsDeptFixedOHIn">#REF!</definedName>
    <definedName name="AccountsDeptVariableOHIn" localSheetId="11">#REF!</definedName>
    <definedName name="AccountsDeptVariableOHIn">#REF!</definedName>
    <definedName name="Act_Capex" localSheetId="11">#REF!</definedName>
    <definedName name="Act_Capex">#REF!</definedName>
    <definedName name="Act_Capex_Value" localSheetId="11">#REF!</definedName>
    <definedName name="Act_Capex_Value">#REF!</definedName>
    <definedName name="ACT_Period" localSheetId="11">#REF!</definedName>
    <definedName name="ACT_Period">#REF!</definedName>
    <definedName name="Act_YTD" localSheetId="11">#REF!</definedName>
    <definedName name="Act_YTD">#REF!</definedName>
    <definedName name="Act2000cum" localSheetId="11">#REF!</definedName>
    <definedName name="Act2000cum">#REF!</definedName>
    <definedName name="Act2000cumNew" localSheetId="11">#REF!</definedName>
    <definedName name="Act2000cumNew">#REF!</definedName>
    <definedName name="Act2000New" localSheetId="11">#REF!</definedName>
    <definedName name="Act2000New">#REF!</definedName>
    <definedName name="Act2002com" localSheetId="11">[7]Act2002com!$C$1:$N$210</definedName>
    <definedName name="Act2002com">#REF!</definedName>
    <definedName name="ActionInclude" localSheetId="11">#REF!</definedName>
    <definedName name="ActionInclude">#REF!</definedName>
    <definedName name="Actions_Config_Fields" localSheetId="11">OFFSET(#REF!,1,,COUNTA(#REF!)-1,COUNTA(#REF!))</definedName>
    <definedName name="Actions_Config_Fields">OFFSET(#REF!,1,,COUNTA(#REF!)-1,COUNTA(#REF!))</definedName>
    <definedName name="Actual">#REF!,#REF!,#REF!,#REF!,#REF!,#REF!,#REF!,#REF!,#REF!</definedName>
    <definedName name="adj_1" localSheetId="11">#REF!</definedName>
    <definedName name="adj_1">#REF!</definedName>
    <definedName name="adj_2" localSheetId="11">#REF!</definedName>
    <definedName name="adj_2">#REF!</definedName>
    <definedName name="adj_3" localSheetId="11">#REF!</definedName>
    <definedName name="adj_3">#REF!</definedName>
    <definedName name="adrian_days_avail" localSheetId="11">#REF!</definedName>
    <definedName name="adrian_days_avail">#REF!</definedName>
    <definedName name="adrian_days_trained" localSheetId="11">#REF!</definedName>
    <definedName name="adrian_days_trained">#REF!</definedName>
    <definedName name="adrian_util" localSheetId="11">#REF!</definedName>
    <definedName name="adrian_util">#REF!</definedName>
    <definedName name="ADSTOCK">#REF!</definedName>
    <definedName name="ADSTOCK_minus0.95">#REF!</definedName>
    <definedName name="ADSTOCK_plus0.95">#REF!</definedName>
    <definedName name="AdvisoryCancelcommit" localSheetId="11">#REF!</definedName>
    <definedName name="AdvisoryCancelcommit">#REF!</definedName>
    <definedName name="AdvisoryCancelMTD" localSheetId="11">#REF!</definedName>
    <definedName name="AdvisoryCancelMTD">#REF!</definedName>
    <definedName name="AdvisoryCancelUpside" localSheetId="11">#REF!</definedName>
    <definedName name="AdvisoryCancelUpside">#REF!</definedName>
    <definedName name="AdvisoryNBcommit" localSheetId="11">#REF!</definedName>
    <definedName name="AdvisoryNBcommit">#REF!</definedName>
    <definedName name="AdvisoryNBMTD" localSheetId="11">#REF!</definedName>
    <definedName name="AdvisoryNBMTD">#REF!</definedName>
    <definedName name="AdvisoryNBUpside" localSheetId="11">#REF!</definedName>
    <definedName name="AdvisoryNBUpside">#REF!</definedName>
    <definedName name="AdvisoryRenewalCount" localSheetId="11">#REF!</definedName>
    <definedName name="AdvisoryRenewalCount">#REF!</definedName>
    <definedName name="AdvisoryUpsellcommit" localSheetId="11">#REF!</definedName>
    <definedName name="AdvisoryUpsellcommit">#REF!</definedName>
    <definedName name="AdvisoryUpsellMTD" localSheetId="11">#REF!</definedName>
    <definedName name="AdvisoryUpsellMTD">#REF!</definedName>
    <definedName name="AdvisoryUpsellUpside" localSheetId="11">#REF!</definedName>
    <definedName name="AdvisoryUpsellUpside">#REF!</definedName>
    <definedName name="AdvisoryVBEUcommit" localSheetId="11">#REF!</definedName>
    <definedName name="AdvisoryVBEUcommit">#REF!</definedName>
    <definedName name="AdvisoryVBEUMTD" localSheetId="11">#REF!</definedName>
    <definedName name="AdvisoryVBEUMTD">#REF!</definedName>
    <definedName name="AdvisoryVBEUUpside" localSheetId="11">#REF!</definedName>
    <definedName name="AdvisoryVBEUUpside">#REF!</definedName>
    <definedName name="AegisII" localSheetId="11">#REF!</definedName>
    <definedName name="AegisII">#REF!</definedName>
    <definedName name="aetr3w">#REF!</definedName>
    <definedName name="afsdaa" hidden="1">#REF!</definedName>
    <definedName name="AllTables">{7}</definedName>
    <definedName name="alright">#REF!</definedName>
    <definedName name="Altec">#REF!</definedName>
    <definedName name="AMLDSpecifiedExpenditure" localSheetId="11">#REF!</definedName>
    <definedName name="AMLDSpecifiedExpenditure">#REF!</definedName>
    <definedName name="AMNET_Dec_15" localSheetId="11">#REF!</definedName>
    <definedName name="AMNET_Dec_15">#REF!</definedName>
    <definedName name="AMNET_Jan_16">#REF!</definedName>
    <definedName name="AMNET_Mnth" localSheetId="11">#REF!</definedName>
    <definedName name="AMNET_Mnth">#REF!</definedName>
    <definedName name="AMNET_Mnth_BUD" localSheetId="11">#REF!</definedName>
    <definedName name="AMNET_Mnth_BUD">#REF!</definedName>
    <definedName name="AMNET_mnth_list" localSheetId="11">#REF!</definedName>
    <definedName name="AMNET_mnth_list">#REF!</definedName>
    <definedName name="AMNET_mtd" localSheetId="11">#REF!</definedName>
    <definedName name="AMNET_mtd">#REF!</definedName>
    <definedName name="AMNET_qtd" localSheetId="11">#REF!</definedName>
    <definedName name="AMNET_qtd">#REF!</definedName>
    <definedName name="AMNET_qtr_BUD" localSheetId="11">#REF!</definedName>
    <definedName name="AMNET_qtr_BUD">#REF!</definedName>
    <definedName name="AMNET_YTD_BUD" localSheetId="11">#REF!</definedName>
    <definedName name="AMNET_YTD_BUD">#REF!</definedName>
    <definedName name="AmortACT05" localSheetId="11">#REF!</definedName>
    <definedName name="AmortACT05">#REF!</definedName>
    <definedName name="AmortBUD06" localSheetId="11">#REF!</definedName>
    <definedName name="AmortBUD06">#REF!</definedName>
    <definedName name="Annual_marketingspend">#REF!</definedName>
    <definedName name="AnnualBaseSalaryCeic" localSheetId="11">#REF!</definedName>
    <definedName name="AnnualBaseSalaryCeic">#REF!</definedName>
    <definedName name="AOE" localSheetId="11">#REF!</definedName>
    <definedName name="AOE">#REF!</definedName>
    <definedName name="APAC_Dec_15" localSheetId="11">#REF!</definedName>
    <definedName name="APAC_Dec_15">#REF!</definedName>
    <definedName name="APAC_Jan_16" localSheetId="11">#REF!</definedName>
    <definedName name="APAC_Jan_16">#REF!</definedName>
    <definedName name="APAC_Mnth" localSheetId="11">#REF!</definedName>
    <definedName name="APAC_Mnth">#REF!</definedName>
    <definedName name="APAC_mnth_list" localSheetId="11">#REF!</definedName>
    <definedName name="APAC_mnth_list">#REF!</definedName>
    <definedName name="APAC_mtd" localSheetId="11">'[8]APAC lookup'!$D$3:$AB$108</definedName>
    <definedName name="APAC_mtd">#REF!</definedName>
    <definedName name="APAC_qtd">#REF!</definedName>
    <definedName name="Application">#REF!</definedName>
    <definedName name="Applications">#REF!</definedName>
    <definedName name="Apr_15" localSheetId="11">#REF!</definedName>
    <definedName name="Apr_15">#REF!</definedName>
    <definedName name="apr_revenue" localSheetId="11">#REF!</definedName>
    <definedName name="apr_revenue">#REF!</definedName>
    <definedName name="AprAct" localSheetId="11">#REF!</definedName>
    <definedName name="AprAct">#REF!</definedName>
    <definedName name="AprFTE" localSheetId="11">#REF!</definedName>
    <definedName name="AprFTE">#REF!</definedName>
    <definedName name="Apriltb" localSheetId="11">#REF!</definedName>
    <definedName name="Apriltb">#REF!</definedName>
    <definedName name="arr_HFMUnits" localSheetId="11">#REF!</definedName>
    <definedName name="arr_HFMUnits">#REF!</definedName>
    <definedName name="As_at_date" localSheetId="11">#REF!</definedName>
    <definedName name="As_at_date">#REF!</definedName>
    <definedName name="AS2DocOpenMode" hidden="1">"AS2DocumentBrowse"</definedName>
    <definedName name="asa" hidden="1">{"Bank Rec",#N/A,FALSE,"Bank Rec"}</definedName>
    <definedName name="asadas">#REF!</definedName>
    <definedName name="asdasdas" hidden="1">{"Cash Book",#N/A,FALSE,"Cash Book"}</definedName>
    <definedName name="asdasdsa" hidden="1">{"Bank Rec",#N/A,FALSE,"Bank Rec"}</definedName>
    <definedName name="asdfafds">#REF!</definedName>
    <definedName name="aseewrew">#REF!</definedName>
    <definedName name="ass" hidden="1">{"Gen Sheet",#N/A,FALSE,"Gen Sheet"}</definedName>
    <definedName name="asw">#REF!</definedName>
    <definedName name="attab" localSheetId="11">#REF!</definedName>
    <definedName name="attab">#REF!</definedName>
    <definedName name="Aug_15" localSheetId="11">#REF!</definedName>
    <definedName name="Aug_15">#REF!</definedName>
    <definedName name="aug05_renewal" localSheetId="11">#REF!</definedName>
    <definedName name="aug05_renewal">#REF!</definedName>
    <definedName name="AugAct" localSheetId="11">#REF!</definedName>
    <definedName name="AugAct">#REF!</definedName>
    <definedName name="AugFTE" localSheetId="11">#REF!</definedName>
    <definedName name="AugFTE">#REF!</definedName>
    <definedName name="Augtb" localSheetId="11">#REF!</definedName>
    <definedName name="Augtb">#REF!</definedName>
    <definedName name="Aumen" localSheetId="11">[9]Input!$M$991:$M$992</definedName>
    <definedName name="Aumen">#REF!</definedName>
    <definedName name="AUS_Mnth_BUD" localSheetId="11">#REF!</definedName>
    <definedName name="AUS_Mnth_BUD">#REF!</definedName>
    <definedName name="AUS_Qtr_BUD" localSheetId="11">#REF!</definedName>
    <definedName name="AUS_Qtr_BUD">#REF!</definedName>
    <definedName name="AUS_YTD_BUD" localSheetId="11">#REF!</definedName>
    <definedName name="AUS_YTD_BUD">#REF!</definedName>
    <definedName name="AUSC_mnth" localSheetId="11">#REF!</definedName>
    <definedName name="AUSC_mnth">#REF!</definedName>
    <definedName name="AUSC_mnth_BUD" localSheetId="11">#REF!</definedName>
    <definedName name="AUSC_mnth_BUD">#REF!</definedName>
    <definedName name="AUSC_qtd" localSheetId="11">#REF!</definedName>
    <definedName name="AUSC_qtd">#REF!</definedName>
    <definedName name="AUSC_qtr_BUD" localSheetId="11">#REF!</definedName>
    <definedName name="AUSC_qtr_BUD">#REF!</definedName>
    <definedName name="AUSC_ytd" localSheetId="11">#REF!</definedName>
    <definedName name="AUSC_ytd">#REF!</definedName>
    <definedName name="AUSC_ytd_Bud" localSheetId="11">#REF!</definedName>
    <definedName name="AUSC_ytd_Bud">#REF!</definedName>
    <definedName name="AUSCmnth_list" localSheetId="11">#REF!</definedName>
    <definedName name="AUSCmnth_list">#REF!</definedName>
    <definedName name="AUSSIC_Mnth_Bud" localSheetId="11">#REF!</definedName>
    <definedName name="AUSSIC_Mnth_Bud">#REF!</definedName>
    <definedName name="AUSSIEC_Mnth_BUD" localSheetId="11">#REF!</definedName>
    <definedName name="AUSSIEC_Mnth_BUD">#REF!</definedName>
    <definedName name="Automatico" localSheetId="11">#REF!</definedName>
    <definedName name="Automatico">#REF!</definedName>
    <definedName name="Average_Support_Fee" localSheetId="11">#REF!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lanceSheet2000Con" localSheetId="11">#REF!</definedName>
    <definedName name="BalanceSheet2000Con">#REF!</definedName>
    <definedName name="BalanceSheet2000UBF" localSheetId="11">#REF!</definedName>
    <definedName name="BalanceSheet2000UBF">#REF!</definedName>
    <definedName name="BalanceSheet2001Con" localSheetId="11">#REF!</definedName>
    <definedName name="BalanceSheet2001Con">#REF!</definedName>
    <definedName name="BalanceSheet2001UBF" localSheetId="11">#REF!</definedName>
    <definedName name="BalanceSheet2001UBF">#REF!</definedName>
    <definedName name="BalanceSheetDates" localSheetId="11">#REF!</definedName>
    <definedName name="BalanceSheetDates">#REF!</definedName>
    <definedName name="Balsht1415" localSheetId="11">#REF!</definedName>
    <definedName name="Balsht1415">#REF!</definedName>
    <definedName name="BalSht1516" localSheetId="11">#REF!</definedName>
    <definedName name="BalSht1516">#REF!</definedName>
    <definedName name="BalSht1617" localSheetId="11">#REF!</definedName>
    <definedName name="BalSht1617">#REF!</definedName>
    <definedName name="BankFees" localSheetId="11">#REF!</definedName>
    <definedName name="BankFees">#REF!</definedName>
    <definedName name="BankLoanRate" localSheetId="11">#REF!</definedName>
    <definedName name="BankLoanRate">#REF!</definedName>
    <definedName name="Bas_de_page" localSheetId="11">#REF!</definedName>
    <definedName name="Bas_de_page">#REF!</definedName>
    <definedName name="Base_" localSheetId="11">#REF!</definedName>
    <definedName name="Base_">#REF!</definedName>
    <definedName name="base_114" localSheetId="11">#REF!</definedName>
    <definedName name="base_114">#REF!</definedName>
    <definedName name="Base_rate" localSheetId="11">#REF!</definedName>
    <definedName name="Base_rate">#REF!</definedName>
    <definedName name="BCComm" localSheetId="11">#REF!</definedName>
    <definedName name="BCComm">#REF!</definedName>
    <definedName name="BEU_revenue2018Budget" localSheetId="11">#REF!</definedName>
    <definedName name="BEU_revenue2018Budget">#REF!</definedName>
    <definedName name="BEU_revenue2019Budget" localSheetId="11">#REF!</definedName>
    <definedName name="BEU_revenue2019Budget">#REF!</definedName>
    <definedName name="BEU_revenue2020Budget" localSheetId="11">#REF!</definedName>
    <definedName name="BEU_revenue2020Budget">#REF!</definedName>
    <definedName name="bgt">#REF!</definedName>
    <definedName name="blah" hidden="1">#REF!</definedName>
    <definedName name="BOM" localSheetId="11">#REF!</definedName>
    <definedName name="BOM">#REF!</definedName>
    <definedName name="bonus" localSheetId="11">#REF!</definedName>
    <definedName name="bonus">#REF!</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1">#REF!</definedName>
    <definedName name="BU">#REF!</definedName>
    <definedName name="Bud_Period" localSheetId="11">#REF!</definedName>
    <definedName name="Bud_Period">#REF!</definedName>
    <definedName name="bud_var" localSheetId="11">#REF!</definedName>
    <definedName name="bud_var">#REF!</definedName>
    <definedName name="Bud_YTD" localSheetId="11">#REF!</definedName>
    <definedName name="Bud_YTD">#REF!</definedName>
    <definedName name="Bud2001cum" localSheetId="11">#REF!</definedName>
    <definedName name="Bud2001cum">#REF!</definedName>
    <definedName name="Bud2002cum" localSheetId="11">#REF!</definedName>
    <definedName name="Bud2002cum">#REF!</definedName>
    <definedName name="BudDepr" localSheetId="11">#REF!</definedName>
    <definedName name="BudDepr">#REF!</definedName>
    <definedName name="Budget_YTD">#REF!,#REF!,#REF!,#REF!,#REF!,#REF!,#REF!,#REF!,#REF!</definedName>
    <definedName name="Budget2003" localSheetId="11">#REF!</definedName>
    <definedName name="Budget2003">#REF!</definedName>
    <definedName name="BUDGETCURRENCYCODE1" localSheetId="11">#REF!</definedName>
    <definedName name="BUDGETCURRENCYCODE1">#REF!</definedName>
    <definedName name="BUDGETNAME1" localSheetId="11">#REF!</definedName>
    <definedName name="BUDGETNAME1">#REF!</definedName>
    <definedName name="BUDGETORG1" localSheetId="11">#REF!</definedName>
    <definedName name="BUDGETORG1">#REF!</definedName>
    <definedName name="budmonth" localSheetId="11">#REF!</definedName>
    <definedName name="budmonth">#REF!</definedName>
    <definedName name="BudOpprofit" localSheetId="11">#REF!</definedName>
    <definedName name="BudOpprofit">#REF!</definedName>
    <definedName name="budytd" localSheetId="11">#REF!</definedName>
    <definedName name="budytd">#REF!</definedName>
    <definedName name="BUFF_DECL_2018" localSheetId="11">#REF!</definedName>
    <definedName name="BUFF_DECL_2018">#REF!</definedName>
    <definedName name="BUFF_DECL_2019" localSheetId="11">#REF!</definedName>
    <definedName name="BUFF_DECL_2019">#REF!</definedName>
    <definedName name="BUFF_DECL_2020" localSheetId="11">#REF!</definedName>
    <definedName name="BUFF_DECL_2020">#REF!</definedName>
    <definedName name="Burglaries">#REF!</definedName>
    <definedName name="Burglaries_minus0.95">#REF!</definedName>
    <definedName name="Burglaries_plus0.95">#REF!</definedName>
    <definedName name="BUSINESSSOLUTION" localSheetId="11">#REF!</definedName>
    <definedName name="BUSINESSSOLUTION">#REF!</definedName>
    <definedName name="CA_mnth" localSheetId="11">#REF!</definedName>
    <definedName name="CA_mnth">#REF!</definedName>
    <definedName name="CA_Mnth_BUD" localSheetId="11">#REF!</definedName>
    <definedName name="CA_Mnth_BUD">#REF!</definedName>
    <definedName name="CA_qtd" localSheetId="11">#REF!</definedName>
    <definedName name="CA_qtd">#REF!</definedName>
    <definedName name="CA_Qtr_BUD" localSheetId="11">#REF!</definedName>
    <definedName name="CA_Qtr_BUD">#REF!</definedName>
    <definedName name="CA_xero" localSheetId="11">#REF!</definedName>
    <definedName name="CA_xero">#REF!</definedName>
    <definedName name="CA_ytd" localSheetId="11">#REF!</definedName>
    <definedName name="CA_ytd">#REF!</definedName>
    <definedName name="CA_Ytd_BUD" localSheetId="11">#REF!</definedName>
    <definedName name="CA_Ytd_BUD">#REF!</definedName>
    <definedName name="CarriedForwardCashflow" localSheetId="11">#REF!</definedName>
    <definedName name="CarriedForwardCashflow">#REF!</definedName>
    <definedName name="Case1" localSheetId="11">#REF!</definedName>
    <definedName name="Case1">#REF!</definedName>
    <definedName name="Case2" localSheetId="11">#REF!</definedName>
    <definedName name="Case2">#REF!</definedName>
    <definedName name="Case3" localSheetId="11">#REF!</definedName>
    <definedName name="Case3">#REF!</definedName>
    <definedName name="Categories" localSheetId="11">#REF!</definedName>
    <definedName name="Categories">#REF!</definedName>
    <definedName name="CCC">#REF!</definedName>
    <definedName name="cccccccccc">#REF!</definedName>
    <definedName name="CCY" localSheetId="11">#REF!</definedName>
    <definedName name="CCY">#REF!</definedName>
    <definedName name="Cen_Dec_15" localSheetId="11">#REF!</definedName>
    <definedName name="Cen_Dec_15">#REF!</definedName>
    <definedName name="Cen_Jan_16" localSheetId="11">#REF!</definedName>
    <definedName name="Cen_Jan_16">#REF!</definedName>
    <definedName name="Cen_Mnth" localSheetId="11">#REF!</definedName>
    <definedName name="Cen_Mnth">#REF!</definedName>
    <definedName name="Cen_mnth_list" localSheetId="11">#REF!</definedName>
    <definedName name="Cen_mnth_list">#REF!</definedName>
    <definedName name="Cen_qtd" localSheetId="11">#REF!</definedName>
    <definedName name="Cen_qtd">#REF!</definedName>
    <definedName name="CEN_qtr_BUD" localSheetId="11">#REF!</definedName>
    <definedName name="CEN_qtr_BUD">#REF!</definedName>
    <definedName name="Cen_ytd" localSheetId="11">#REF!</definedName>
    <definedName name="Cen_ytd">#REF!</definedName>
    <definedName name="Cen_ytd_BUD" localSheetId="11">#REF!</definedName>
    <definedName name="Cen_ytd_BUD">#REF!</definedName>
    <definedName name="Cent_Mnth_Bud" localSheetId="11">#REF!</definedName>
    <definedName name="Cent_Mnth_Bud">#REF!</definedName>
    <definedName name="CF2_1">#REF!</definedName>
    <definedName name="CF2_2">#REF!</definedName>
    <definedName name="cftab" localSheetId="11">#REF!</definedName>
    <definedName name="cftab">#REF!</definedName>
    <definedName name="CH_A" localSheetId="11">#REF!</definedName>
    <definedName name="CH_A">#REF!</definedName>
    <definedName name="CH_B" localSheetId="11">#REF!</definedName>
    <definedName name="CH_B">#REF!</definedName>
    <definedName name="CH_C" localSheetId="11">#REF!</definedName>
    <definedName name="CH_C">#REF!</definedName>
    <definedName name="CH_D" localSheetId="11">#REF!</definedName>
    <definedName name="CH_D">#REF!</definedName>
    <definedName name="CH_E" localSheetId="11">#REF!</definedName>
    <definedName name="CH_E">#REF!</definedName>
    <definedName name="CH_F" localSheetId="11">#REF!</definedName>
    <definedName name="CH_F">#REF!</definedName>
    <definedName name="Choices_Wrapper">#REF!</definedName>
    <definedName name="Choices2">#REF!</definedName>
    <definedName name="CIQWBGuid" hidden="1">"87ec7ee0-36f1-4077-b101-b01508112353"</definedName>
    <definedName name="CIQWBInfo" hidden="1">"{ ""CIQVersion"":""9.51.3510.3078"" }"</definedName>
    <definedName name="class" localSheetId="11">#REF!</definedName>
    <definedName name="class">#REF!</definedName>
    <definedName name="CLIENT" localSheetId="11">#REF!</definedName>
    <definedName name="CLIENT">#REF!</definedName>
    <definedName name="Close" localSheetId="11">#REF!</definedName>
    <definedName name="Close">#REF!</definedName>
    <definedName name="closedate">#REF!</definedName>
    <definedName name="CloseYear" localSheetId="11">#REF!</definedName>
    <definedName name="CloseYear">#REF!</definedName>
    <definedName name="Closing">32233</definedName>
    <definedName name="Closing_cash" localSheetId="11">#REF!</definedName>
    <definedName name="Closing_cash">#REF!</definedName>
    <definedName name="CLOSING1">32201</definedName>
    <definedName name="CLOSING2">32233</definedName>
    <definedName name="CLOSING3">32333</definedName>
    <definedName name="Code_soc" localSheetId="11">#REF!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1">#REF!</definedName>
    <definedName name="ColorNames">#REF!</definedName>
    <definedName name="companylist" localSheetId="11">#REF!</definedName>
    <definedName name="companylist">#REF!</definedName>
    <definedName name="Competition_Cancellations">#REF!</definedName>
    <definedName name="Competitor_installations">#REF!</definedName>
    <definedName name="Competitor_Portfolio">#REF!</definedName>
    <definedName name="Contingency">#REF!</definedName>
    <definedName name="Conventions" localSheetId="11">#REF!</definedName>
    <definedName name="Conventions">#REF!</definedName>
    <definedName name="CorporateOverheadsDeskChargeIn" localSheetId="11">#REF!</definedName>
    <definedName name="CorporateOverheadsDeskChargeIn">#REF!</definedName>
    <definedName name="CorporateRate2000" localSheetId="11">#REF!</definedName>
    <definedName name="CorporateRate2000">#REF!</definedName>
    <definedName name="CostPoolL1">#REF!</definedName>
    <definedName name="CostPoolL2">#REF!</definedName>
    <definedName name="Countrylist">#REF!</definedName>
    <definedName name="Coverage">#REF!</definedName>
    <definedName name="craig_days_avail" localSheetId="11">#REF!</definedName>
    <definedName name="craig_days_avail">#REF!</definedName>
    <definedName name="craig_days_trained" localSheetId="11">#REF!</definedName>
    <definedName name="craig_days_trained">#REF!</definedName>
    <definedName name="craig_util" localSheetId="11">#REF!</definedName>
    <definedName name="craig_util">#REF!</definedName>
    <definedName name="CTRate" localSheetId="11">[10]data!$B$3</definedName>
    <definedName name="CTRate">#REF!</definedName>
    <definedName name="currency">#REF!</definedName>
    <definedName name="CurrentYear">#REF!</definedName>
    <definedName name="Customer1" localSheetId="11">#REF!</definedName>
    <definedName name="Customer1">#REF!</definedName>
    <definedName name="cv">#REF!</definedName>
    <definedName name="CXR">#REF!</definedName>
    <definedName name="data_count" localSheetId="11">#REF!</definedName>
    <definedName name="data_count">#REF!</definedName>
    <definedName name="data_sum">#REF!</definedName>
    <definedName name="DATACOLLECTION" localSheetId="11">#REF!</definedName>
    <definedName name="DATACOLLECTION">#REF!</definedName>
    <definedName name="DataCosts" localSheetId="11">#REF!</definedName>
    <definedName name="DataCosts">#REF!</definedName>
    <definedName name="date">#REF!</definedName>
    <definedName name="DateList">#REF!</definedName>
    <definedName name="DAV">#REF!</definedName>
    <definedName name="DavRoutine">#REF!</definedName>
    <definedName name="DaysPast" localSheetId="11">#REF!</definedName>
    <definedName name="DaysPast">#REF!</definedName>
    <definedName name="DBNAME1" localSheetId="11">#REF!</definedName>
    <definedName name="DBNAME1">#REF!</definedName>
    <definedName name="DBSwitch" localSheetId="11">#REF!</definedName>
    <definedName name="DBSwitch">#REF!</definedName>
    <definedName name="dcs">#REF!</definedName>
    <definedName name="DD" localSheetId="11">#REF!</definedName>
    <definedName name="DD">#REF!</definedName>
    <definedName name="dddddd" hidden="1">{#N/A,#N/A,FALSE,"CAPREIT"}</definedName>
    <definedName name="ddddddd" hidden="1">{#N/A,#N/A,FALSE,"CAPREIT"}</definedName>
    <definedName name="DE_Dec_15" localSheetId="11">#REF!</definedName>
    <definedName name="DE_Dec_15">#REF!</definedName>
    <definedName name="DE_Jan_16" localSheetId="11">#REF!</definedName>
    <definedName name="DE_Jan_16">#REF!</definedName>
    <definedName name="DE_Mnth" localSheetId="11">#REF!</definedName>
    <definedName name="DE_Mnth">#REF!</definedName>
    <definedName name="DE_mnth_BUD" localSheetId="11">[8]DE!$E$4:$P$147</definedName>
    <definedName name="DE_mnth_BUD">#REF!</definedName>
    <definedName name="DE_mnth_list" localSheetId="11">#REF!</definedName>
    <definedName name="DE_mnth_list">#REF!</definedName>
    <definedName name="DE_Mtd" localSheetId="11">#REF!</definedName>
    <definedName name="DE_Mtd">#REF!</definedName>
    <definedName name="DE_qtd" localSheetId="11">#REF!</definedName>
    <definedName name="DE_qtd">#REF!</definedName>
    <definedName name="DE_qtr_BUD" localSheetId="11">#REF!</definedName>
    <definedName name="DE_qtr_BUD">#REF!</definedName>
    <definedName name="DE_ytd_BUD" localSheetId="11">#REF!</definedName>
    <definedName name="DE_ytd_BUD">#REF!</definedName>
    <definedName name="Dec_15" localSheetId="11">#REF!</definedName>
    <definedName name="Dec_15">#REF!</definedName>
    <definedName name="dec03tb" localSheetId="11">#REF!</definedName>
    <definedName name="dec03tb">#REF!</definedName>
    <definedName name="DecAct" localSheetId="11">#REF!</definedName>
    <definedName name="DecAct">#REF!</definedName>
    <definedName name="DecFTE" localSheetId="11">#REF!</definedName>
    <definedName name="DecFTE">#REF!</definedName>
    <definedName name="DeductGWA" localSheetId="11">#REF!</definedName>
    <definedName name="DeductGWA">#REF!</definedName>
    <definedName name="Dep_Cod" localSheetId="11">#REF!</definedName>
    <definedName name="Dep_Cod">#REF!</definedName>
    <definedName name="DeprBUD05" localSheetId="11">#REF!</definedName>
    <definedName name="DeprBUD05">#REF!</definedName>
    <definedName name="DeprBUD06" localSheetId="11">#REF!</definedName>
    <definedName name="DeprBUD06">#REF!</definedName>
    <definedName name="dept_99" localSheetId="11">#REF!</definedName>
    <definedName name="dept_99">#REF!</definedName>
    <definedName name="DEPT60">#REF!</definedName>
    <definedName name="dereew">#REF!</definedName>
    <definedName name="df">#REF!</definedName>
    <definedName name="dfgh">#REF!</definedName>
    <definedName name="dghtz">#REF!</definedName>
    <definedName name="Disposableincome">#REF!</definedName>
    <definedName name="Disposableincome_minus0.95">#REF!</definedName>
    <definedName name="Disposableincome_plus0.95">#REF!</definedName>
    <definedName name="DJE_Revenue" localSheetId="11">#REF!</definedName>
    <definedName name="DJE_Revenue">#REF!</definedName>
    <definedName name="DME_BeforeCloseCompleted" hidden="1">"True"</definedName>
    <definedName name="DME_Dirty" hidden="1">"False"</definedName>
    <definedName name="DME_LocalFile" hidden="1">"True"</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1">#REF!</definedName>
    <definedName name="Earnouts">#REF!</definedName>
    <definedName name="ebit" localSheetId="11">#REF!</definedName>
    <definedName name="ebit">#REF!</definedName>
    <definedName name="ebitdarunrate" localSheetId="11">#REF!</definedName>
    <definedName name="ebitdarunrate">#REF!</definedName>
    <definedName name="ed">#REF!</definedName>
    <definedName name="eeeeeeeeeee">#REF!</definedName>
    <definedName name="eeeeeeeeeeee">#REF!</definedName>
    <definedName name="eerd">#REF!</definedName>
    <definedName name="EM" localSheetId="11">#REF!</definedName>
    <definedName name="EM">#REF!</definedName>
    <definedName name="Emp_Cod" localSheetId="11">#REF!</definedName>
    <definedName name="Emp_Cod">#REF!</definedName>
    <definedName name="Employees" localSheetId="11">#REF!</definedName>
    <definedName name="Employees">#REF!</definedName>
    <definedName name="entertainment" localSheetId="11">#REF!</definedName>
    <definedName name="entertainment">#REF!</definedName>
    <definedName name="Entities">#REF!</definedName>
    <definedName name="Entity">#REF!</definedName>
    <definedName name="ENTITY_NAME" localSheetId="11">#REF!</definedName>
    <definedName name="ENTITY_NAME">#REF!</definedName>
    <definedName name="Entityy">#REF!</definedName>
    <definedName name="EntryRMR">#REF!</definedName>
    <definedName name="Equity_addition" localSheetId="11">#REF!</definedName>
    <definedName name="Equity_addition">#REF!</definedName>
    <definedName name="Equity_base" localSheetId="11">#REF!</definedName>
    <definedName name="Equity_base">#REF!</definedName>
    <definedName name="ERM" localSheetId="11">#REF!</definedName>
    <definedName name="ERM">#REF!</definedName>
    <definedName name="ERMPBT1" localSheetId="11">#REF!</definedName>
    <definedName name="ERMPBT1">#REF!</definedName>
    <definedName name="ERMPBT2" localSheetId="11">#REF!</definedName>
    <definedName name="ERMPBT2">#REF!</definedName>
    <definedName name="ERMPBT3" localSheetId="11">#REF!</definedName>
    <definedName name="ERMPBT3">#REF!</definedName>
    <definedName name="ETRI" localSheetId="11">#REF!</definedName>
    <definedName name="ETRI">#REF!</definedName>
    <definedName name="EUR_AED_RATE" localSheetId="11">#REF!</definedName>
    <definedName name="EUR_AED_RATE">#REF!</definedName>
    <definedName name="ewerere">#REF!</definedName>
    <definedName name="EXCH_RATE" localSheetId="11">#REF!</definedName>
    <definedName name="EXCH_RATE">#REF!</definedName>
    <definedName name="exchange_data" localSheetId="11">#REF!</definedName>
    <definedName name="exchange_data">#REF!</definedName>
    <definedName name="ExistingDebt" localSheetId="11">#REF!</definedName>
    <definedName name="ExistingDebt">#REF!</definedName>
    <definedName name="exrate" localSheetId="11">#REF!</definedName>
    <definedName name="exrate">#REF!</definedName>
    <definedName name="ｆ" hidden="1">"iQShowAnnual"</definedName>
    <definedName name="FACTOR3" localSheetId="11">#REF!</definedName>
    <definedName name="FACTOR3">#REF!</definedName>
    <definedName name="FC" localSheetId="11">#REF!</definedName>
    <definedName name="FC">#REF!</definedName>
    <definedName name="Fcast2004" localSheetId="11">#REF!</definedName>
    <definedName name="Fcast2004">#REF!</definedName>
    <definedName name="fd">#REF!</definedName>
    <definedName name="fdfdfd" hidden="1">{#N/A,#N/A,FALSE,"CAPREIT"}</definedName>
    <definedName name="fdfdfdf" hidden="1">{#N/A,#N/A,FALSE,"CAPREIT"}</definedName>
    <definedName name="fdgr">#REF!</definedName>
    <definedName name="Feb_15" localSheetId="11">#REF!</definedName>
    <definedName name="Feb_15">#REF!</definedName>
    <definedName name="FebAct" localSheetId="11">#REF!</definedName>
    <definedName name="FebAct">#REF!</definedName>
    <definedName name="FebFTE" localSheetId="11">#REF!</definedName>
    <definedName name="FebFTE">#REF!</definedName>
    <definedName name="febtb" localSheetId="11">#REF!</definedName>
    <definedName name="febtb">#REF!</definedName>
    <definedName name="FEE_GRO_FCT_2018" localSheetId="11">#REF!</definedName>
    <definedName name="FEE_GRO_FCT_2018">#REF!</definedName>
    <definedName name="FEE_GRO_FCT_2019" localSheetId="11">#REF!</definedName>
    <definedName name="FEE_GRO_FCT_2019">#REF!</definedName>
    <definedName name="FEE_GRO_FCT_2020" localSheetId="11">#REF!</definedName>
    <definedName name="FEE_GRO_FCT_2020">#REF!</definedName>
    <definedName name="FeeClass">#REF!</definedName>
    <definedName name="FeesLocal" localSheetId="11">#REF!</definedName>
    <definedName name="FeesLocal">#REF!</definedName>
    <definedName name="fgb">#REF!</definedName>
    <definedName name="fghgh">#REF!</definedName>
    <definedName name="fgrte">#REF!</definedName>
    <definedName name="fgtz">#REF!</definedName>
    <definedName name="FieldRangeInitiative" localSheetId="11">OFFSET(#REF!,1,,COUNTA(#REF!)-1,5)</definedName>
    <definedName name="FieldRangeInitiative">OFFSET(#REF!,1,,COUNTA(#REF!)-1,5)</definedName>
    <definedName name="final" hidden="1">{"SchG1",#N/A,FALSE,"Schedules";"SchG2",#N/A,FALSE,"Schedules"}</definedName>
    <definedName name="FinalPosition" localSheetId="11">#REF!</definedName>
    <definedName name="FinalPosition">#REF!</definedName>
    <definedName name="Financial_year_start" localSheetId="11">#REF!</definedName>
    <definedName name="Financial_year_start">#REF!</definedName>
    <definedName name="First_Month_Of_Actuals" localSheetId="11">#REF!</definedName>
    <definedName name="First_Month_Of_Actuals">#REF!</definedName>
    <definedName name="First_Month_Of_Quarterly_Reforecast_Timeline" localSheetId="11">#REF!</definedName>
    <definedName name="First_Month_Of_Quarterly_Reforecast_Timeline">#REF!</definedName>
    <definedName name="FIRST_QUARTER_AND_SECOND_QUARTER_1999_FIXED_ASSETS" localSheetId="11">#REF!</definedName>
    <definedName name="FIRST_QUARTER_AND_SECOND_QUARTER_1999_FIXED_ASSETS">#REF!</definedName>
    <definedName name="FirstPeriodOfForecasts" localSheetId="11">#REF!</definedName>
    <definedName name="FirstPeriodOfForecasts">#REF!</definedName>
    <definedName name="FirstTop" localSheetId="11">#REF!</definedName>
    <definedName name="FirstTop">#REF!</definedName>
    <definedName name="fjkiul">#REF!</definedName>
    <definedName name="For2001UBF" localSheetId="11">#REF!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1">#REF!</definedName>
    <definedName name="FOWRate2000">#REF!</definedName>
    <definedName name="friday_exchange_data" localSheetId="11">#REF!</definedName>
    <definedName name="friday_exchange_data">#REF!</definedName>
    <definedName name="ftzrt">#REF!</definedName>
    <definedName name="fuzi">#REF!</definedName>
    <definedName name="fuzio">#REF!</definedName>
    <definedName name="FxRate" localSheetId="11">#REF!</definedName>
    <definedName name="FxRate">#REF!</definedName>
    <definedName name="FXUSD" localSheetId="11">#REF!</definedName>
    <definedName name="FXUSD">#REF!</definedName>
    <definedName name="FY12Profiles" localSheetId="11">#REF!</definedName>
    <definedName name="FY12Profiles">#REF!</definedName>
    <definedName name="FY19A" localSheetId="11">#REF!</definedName>
    <definedName name="FY19A">#REF!</definedName>
    <definedName name="FYear1415" localSheetId="11">#REF!</definedName>
    <definedName name="FYear1415">#REF!</definedName>
    <definedName name="FYERM" localSheetId="11">#REF!</definedName>
    <definedName name="FYERM">#REF!</definedName>
    <definedName name="FYINF" localSheetId="11">#REF!</definedName>
    <definedName name="FYINF">#REF!</definedName>
    <definedName name="FYTarget" localSheetId="11">#REF!</definedName>
    <definedName name="FYTarget">#REF!</definedName>
    <definedName name="g" hidden="1">#REF!</definedName>
    <definedName name="GDP">#REF!</definedName>
    <definedName name="GDP_minus0.95">#REF!</definedName>
    <definedName name="GDP_plus0.95">#REF!</definedName>
    <definedName name="george_days_avail" localSheetId="11">#REF!</definedName>
    <definedName name="george_days_avail">#REF!</definedName>
    <definedName name="george_days_trained" localSheetId="11">#REF!</definedName>
    <definedName name="george_days_trained">#REF!</definedName>
    <definedName name="george_util" localSheetId="11">#REF!</definedName>
    <definedName name="george_util">#REF!</definedName>
    <definedName name="GER_mnth" localSheetId="11">#REF!</definedName>
    <definedName name="GER_mnth">#REF!</definedName>
    <definedName name="GER_qtd" localSheetId="11">#REF!</definedName>
    <definedName name="GER_qtd">#REF!</definedName>
    <definedName name="Ger_ytd" localSheetId="11">#REF!</definedName>
    <definedName name="Ger_ytd">#REF!</definedName>
    <definedName name="GERM_mnth_BUD" localSheetId="11">#REF!</definedName>
    <definedName name="GERM_mnth_BUD">#REF!</definedName>
    <definedName name="GERM_qtr_BUD" localSheetId="11">#REF!</definedName>
    <definedName name="GERM_qtr_BUD">#REF!</definedName>
    <definedName name="GERM_ytd_BUD" localSheetId="11">#REF!</definedName>
    <definedName name="GERM_ytd_BUD">#REF!</definedName>
    <definedName name="GERmnth_list" localSheetId="11">#REF!</definedName>
    <definedName name="GERmnth_list">#REF!</definedName>
    <definedName name="gf">#REF!</definedName>
    <definedName name="gggfd">#REF!</definedName>
    <definedName name="gggg" hidden="1">{"SchH1",#N/A,FALSE,"Schedules";"SchH2",#N/A,FALSE,"Schedules"}</definedName>
    <definedName name="ghfg">#REF!</definedName>
    <definedName name="ght">#REF!</definedName>
    <definedName name="ghtz">#REF!</definedName>
    <definedName name="GIFS_DATA" localSheetId="11">#REF!</definedName>
    <definedName name="GIFS_DATA">#REF!</definedName>
    <definedName name="GLAS">#REF!</definedName>
    <definedName name="Global" localSheetId="11">#REF!</definedName>
    <definedName name="Global">#REF!</definedName>
    <definedName name="GPComm" localSheetId="11">#REF!</definedName>
    <definedName name="GPComm">#REF!</definedName>
    <definedName name="graeme_days_avail" localSheetId="11">#REF!</definedName>
    <definedName name="graeme_days_avail">#REF!</definedName>
    <definedName name="graeme_days_trained" localSheetId="11">#REF!</definedName>
    <definedName name="graeme_days_trained">#REF!</definedName>
    <definedName name="graeme_util" localSheetId="11">#REF!</definedName>
    <definedName name="graeme_util">#REF!</definedName>
    <definedName name="Greater_Than_Relevant_Period_Ending" localSheetId="11">#REF!</definedName>
    <definedName name="Greater_Than_Relevant_Period_Ending">#REF!</definedName>
    <definedName name="GroupFinanceFixedOHIn" localSheetId="11">#REF!</definedName>
    <definedName name="GroupFinanceFixedOHIn">#REF!</definedName>
    <definedName name="GroupFinanceVariableOHIn" localSheetId="11">#REF!</definedName>
    <definedName name="GroupFinanceVariableOHIn">#REF!</definedName>
    <definedName name="GroupList">#REF!</definedName>
    <definedName name="GrpMacro">#REF!</definedName>
    <definedName name="GrpMacro_minus0.95">#REF!</definedName>
    <definedName name="GrpMacro_plus0.95">#REF!</definedName>
    <definedName name="GUILDER">#REF!</definedName>
    <definedName name="GWA" localSheetId="11">#REF!</definedName>
    <definedName name="GWA">#REF!</definedName>
    <definedName name="h">#REF!</definedName>
    <definedName name="HCARE">#REF!</definedName>
    <definedName name="headcount" localSheetId="11">#REF!</definedName>
    <definedName name="headcount">#REF!</definedName>
    <definedName name="Healthcare_PensionsIn" localSheetId="11">#REF!</definedName>
    <definedName name="Healthcare_PensionsIn">#REF!</definedName>
    <definedName name="heather_days_avail" localSheetId="11">#REF!</definedName>
    <definedName name="heather_days_avail">#REF!</definedName>
    <definedName name="heather_days_trained" localSheetId="11">#REF!</definedName>
    <definedName name="heather_days_trained">#REF!</definedName>
    <definedName name="heather_util" localSheetId="11">#REF!</definedName>
    <definedName name="heather_util">#REF!</definedName>
    <definedName name="HF_EUR_USD" localSheetId="11">#REF!</definedName>
    <definedName name="HF_EUR_USD">#REF!</definedName>
    <definedName name="hg">#REF!</definedName>
    <definedName name="hjz">#REF!</definedName>
    <definedName name="HostingCosts" localSheetId="11">#REF!</definedName>
    <definedName name="HostingCosts">#REF!</definedName>
    <definedName name="HostingSetup" localSheetId="11">#REF!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1">#REF!</definedName>
    <definedName name="HYERM">#REF!</definedName>
    <definedName name="HYINF" localSheetId="11">#REF!</definedName>
    <definedName name="HYINF">#REF!</definedName>
    <definedName name="HYTarget" localSheetId="11">#REF!</definedName>
    <definedName name="HYTarget">#REF!</definedName>
    <definedName name="I_Vehicle_age" localSheetId="11">#REF!</definedName>
    <definedName name="I_Vehicle_age">#REF!</definedName>
    <definedName name="i87i76">#REF!</definedName>
    <definedName name="ian_days_avail" localSheetId="11">#REF!</definedName>
    <definedName name="ian_days_avail">#REF!</definedName>
    <definedName name="ian_days_trained" localSheetId="11">#REF!</definedName>
    <definedName name="ian_days_trained">#REF!</definedName>
    <definedName name="ian_util" localSheetId="11">#REF!</definedName>
    <definedName name="ian_util">#REF!</definedName>
    <definedName name="ICLocal" localSheetId="11">#REF!</definedName>
    <definedName name="ICLocal">#REF!</definedName>
    <definedName name="IdeaIDVal" localSheetId="11">#REF!</definedName>
    <definedName name="IdeaIDVal">#REF!</definedName>
    <definedName name="iiiiiiiiii">#REF!</definedName>
    <definedName name="ikliuk">#REF!</definedName>
    <definedName name="iliul">#REF!</definedName>
    <definedName name="IMII10" localSheetId="11">#REF!</definedName>
    <definedName name="IMII10">#REF!</definedName>
    <definedName name="IMII5" localSheetId="11">#REF!</definedName>
    <definedName name="IMII5">#REF!</definedName>
    <definedName name="IMII6" localSheetId="11">#REF!</definedName>
    <definedName name="IMII6">#REF!</definedName>
    <definedName name="IMII7" localSheetId="11">#REF!</definedName>
    <definedName name="IMII7">#REF!</definedName>
    <definedName name="IMII8" localSheetId="11">#REF!</definedName>
    <definedName name="IMII8">#REF!</definedName>
    <definedName name="IMII9" localSheetId="11">#REF!</definedName>
    <definedName name="IMII9">#REF!</definedName>
    <definedName name="IMMB" localSheetId="11">#REF!</definedName>
    <definedName name="IMMB">#REF!</definedName>
    <definedName name="IN_mnth" localSheetId="11">#REF!</definedName>
    <definedName name="IN_mnth">#REF!</definedName>
    <definedName name="IN_qtd" localSheetId="11">#REF!</definedName>
    <definedName name="IN_qtd">#REF!</definedName>
    <definedName name="IN_ytd" localSheetId="11">#REF!</definedName>
    <definedName name="IN_ytd">#REF!</definedName>
    <definedName name="IncomeStatementDates" localSheetId="11">#REF!</definedName>
    <definedName name="IncomeStatementDates">#REF!</definedName>
    <definedName name="IncorpValue" localSheetId="11">#REF!</definedName>
    <definedName name="IncorpValue">#REF!</definedName>
    <definedName name="IND_Mnth_BUD" localSheetId="11">#REF!</definedName>
    <definedName name="IND_Mnth_BUD">#REF!</definedName>
    <definedName name="IND_Qtr_BUD" localSheetId="11">#REF!</definedName>
    <definedName name="IND_Qtr_BUD">#REF!</definedName>
    <definedName name="IND_Ytd_BUD" localSheetId="11">#REF!</definedName>
    <definedName name="IND_Ytd_BUD">#REF!</definedName>
    <definedName name="INF" localSheetId="11">#REF!</definedName>
    <definedName name="INF">#REF!</definedName>
    <definedName name="Inf_ERM" localSheetId="11">#REF!</definedName>
    <definedName name="Inf_ERM">#REF!</definedName>
    <definedName name="INFPBT1" localSheetId="11">#REF!</definedName>
    <definedName name="INFPBT1">#REF!</definedName>
    <definedName name="INFPBT2" localSheetId="11">#REF!</definedName>
    <definedName name="INFPBT2">#REF!</definedName>
    <definedName name="INFPBT3" localSheetId="11">#REF!</definedName>
    <definedName name="INFPBT3">#REF!</definedName>
    <definedName name="Input_range" localSheetId="11">#REF!</definedName>
    <definedName name="Input_range">#REF!</definedName>
    <definedName name="installsp_high">#REF!</definedName>
    <definedName name="installsp_low">#REF!</definedName>
    <definedName name="Installsp_model">#REF!</definedName>
    <definedName name="Interest" localSheetId="11">#REF!</definedName>
    <definedName name="Interest">#REF!</definedName>
    <definedName name="InterestCoverTarget" localSheetId="11">#REF!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EPS" hidden="1">"c1648"</definedName>
    <definedName name="IQ_EST_ACT_FFO_REUT" hidden="1">"c3843"</definedName>
    <definedName name="IQ_EST_BV_DIFF_REUT" hidden="1">"c5433"</definedName>
    <definedName name="IQ_EST_BV_SURPRISE_PERCENT_REUT" hidden="1">"c5434"</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FFO_DIFF_REUT" hidden="1">"c3890"</definedName>
    <definedName name="IQ_EST_FFO_SURPRISE_PERCENT_REUT" hidden="1">"c3891"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RD">#REF!</definedName>
    <definedName name="IT2BAL" localSheetId="11">#REF!</definedName>
    <definedName name="IT2BAL">#REF!</definedName>
    <definedName name="IteamCancelcommit" localSheetId="11">#REF!</definedName>
    <definedName name="IteamCancelcommit">#REF!</definedName>
    <definedName name="IteamCancelMTD" localSheetId="11">#REF!</definedName>
    <definedName name="IteamCancelMTD">#REF!</definedName>
    <definedName name="IteamCancelUpside" localSheetId="11">#REF!</definedName>
    <definedName name="IteamCancelUpside">#REF!</definedName>
    <definedName name="ITeamNBCommit" localSheetId="11">#REF!</definedName>
    <definedName name="ITeamNBCommit">#REF!</definedName>
    <definedName name="IteamNBMTD" localSheetId="11">#REF!</definedName>
    <definedName name="IteamNBMTD">#REF!</definedName>
    <definedName name="IteamNBUpside" localSheetId="11">#REF!</definedName>
    <definedName name="IteamNBUpside">#REF!</definedName>
    <definedName name="IteamRenewalCount" localSheetId="11">#REF!</definedName>
    <definedName name="IteamRenewalCount">#REF!</definedName>
    <definedName name="IteamUpsellcommit" localSheetId="11">#REF!</definedName>
    <definedName name="IteamUpsellcommit">#REF!</definedName>
    <definedName name="IteamUpsellMTD" localSheetId="11">#REF!</definedName>
    <definedName name="IteamUpsellMTD">#REF!</definedName>
    <definedName name="IteamUpsellUpside" localSheetId="11">#REF!</definedName>
    <definedName name="IteamUpsellUpside">#REF!</definedName>
    <definedName name="IteamVBEUcommit" localSheetId="11">#REF!</definedName>
    <definedName name="IteamVBEUcommit">#REF!</definedName>
    <definedName name="IteamVBEUMTD" localSheetId="11">#REF!</definedName>
    <definedName name="IteamVBEUMTD">#REF!</definedName>
    <definedName name="IteamVBEUUpside" localSheetId="11">#REF!</definedName>
    <definedName name="IteamVBEUUpside">#REF!</definedName>
    <definedName name="ITHourlyRateIn" localSheetId="11">#REF!</definedName>
    <definedName name="ITHourlyRateIn">#REF!</definedName>
    <definedName name="ITRD">#REF!</definedName>
    <definedName name="iuz">#REF!</definedName>
    <definedName name="Jan_15" localSheetId="11">#REF!</definedName>
    <definedName name="Jan_15">#REF!</definedName>
    <definedName name="Jan_16" localSheetId="11">#REF!</definedName>
    <definedName name="Jan_16">#REF!</definedName>
    <definedName name="JanAct" localSheetId="11">#REF!</definedName>
    <definedName name="JanAct">#REF!</definedName>
    <definedName name="janamex2" localSheetId="11">#REF!</definedName>
    <definedName name="janamex2">#REF!</definedName>
    <definedName name="JanFTE" localSheetId="11">#REF!</definedName>
    <definedName name="JanFTE">#REF!</definedName>
    <definedName name="jantb" localSheetId="11">#REF!</definedName>
    <definedName name="jantb">#REF!</definedName>
    <definedName name="jkm">#REF!</definedName>
    <definedName name="jnl" localSheetId="11">#REF!</definedName>
    <definedName name="jnl">#REF!</definedName>
    <definedName name="jnl_name" localSheetId="11">#REF!</definedName>
    <definedName name="jnl_name">#REF!</definedName>
    <definedName name="JobIs" localSheetId="11">#REF!</definedName>
    <definedName name="JobIs">#REF!</definedName>
    <definedName name="Jounral1" localSheetId="11">#REF!</definedName>
    <definedName name="Jounral1">#REF!</definedName>
    <definedName name="Journal1" localSheetId="11">#REF!</definedName>
    <definedName name="Journal1">#REF!</definedName>
    <definedName name="JOURNAL2" localSheetId="11">#REF!</definedName>
    <definedName name="JOURNAL2">#REF!</definedName>
    <definedName name="jsjsjs">#REF!</definedName>
    <definedName name="ju">#REF!</definedName>
    <definedName name="Jul_15" localSheetId="11">#REF!</definedName>
    <definedName name="Jul_15">#REF!</definedName>
    <definedName name="JulAct" localSheetId="11">#REF!</definedName>
    <definedName name="JulAct">#REF!</definedName>
    <definedName name="JulFTE" localSheetId="11">#REF!</definedName>
    <definedName name="JulFTE">#REF!</definedName>
    <definedName name="Jultb" localSheetId="11">#REF!</definedName>
    <definedName name="Jultb">#REF!</definedName>
    <definedName name="Jun_15" localSheetId="11">#REF!</definedName>
    <definedName name="Jun_15">#REF!</definedName>
    <definedName name="jun_revenue" localSheetId="11">#REF!</definedName>
    <definedName name="jun_revenue">#REF!</definedName>
    <definedName name="JunAct" localSheetId="11">#REF!</definedName>
    <definedName name="JunAct">#REF!</definedName>
    <definedName name="JunFTE" localSheetId="11">#REF!</definedName>
    <definedName name="JunFTE">#REF!</definedName>
    <definedName name="junk" localSheetId="11">#REF!</definedName>
    <definedName name="junk">#REF!</definedName>
    <definedName name="junk2" localSheetId="11">#REF!</definedName>
    <definedName name="junk2">#REF!</definedName>
    <definedName name="junk3" localSheetId="11">#REF!</definedName>
    <definedName name="junk3">#REF!</definedName>
    <definedName name="junk4" localSheetId="11">#REF!</definedName>
    <definedName name="junk4">#REF!</definedName>
    <definedName name="Juntb" localSheetId="11">#REF!</definedName>
    <definedName name="Juntb">#REF!</definedName>
    <definedName name="jztu">#REF!</definedName>
    <definedName name="jzuj" hidden="1">#REF!</definedName>
    <definedName name="KCID" localSheetId="11">#REF!</definedName>
    <definedName name="KCID">#REF!</definedName>
    <definedName name="KCIDAct" localSheetId="11">#REF!</definedName>
    <definedName name="KCIDAct">#REF!</definedName>
    <definedName name="ken_days_avail" localSheetId="11">#REF!</definedName>
    <definedName name="ken_days_avail">#REF!</definedName>
    <definedName name="ken_days_trained" localSheetId="11">#REF!</definedName>
    <definedName name="ken_days_trained">#REF!</definedName>
    <definedName name="ken_util" localSheetId="11">#REF!</definedName>
    <definedName name="ken_util">#REF!</definedName>
    <definedName name="kioi">#REF!</definedName>
    <definedName name="KRONER">#REF!</definedName>
    <definedName name="L_Country" localSheetId="11">#REF!</definedName>
    <definedName name="L_Country">#REF!</definedName>
    <definedName name="L_Diesel_scenarios" localSheetId="11">#REF!</definedName>
    <definedName name="L_Diesel_scenarios">#REF!</definedName>
    <definedName name="L_EV_scenarios" localSheetId="11">#REF!</definedName>
    <definedName name="L_EV_scenarios">#REF!</definedName>
    <definedName name="L_Fuel_type" localSheetId="11">#REF!</definedName>
    <definedName name="L_Fuel_type">#REF!</definedName>
    <definedName name="L_Vehicle_age" localSheetId="11">#REF!</definedName>
    <definedName name="L_Vehicle_age">#REF!</definedName>
    <definedName name="L_Vehicle_type" localSheetId="11">#REF!</definedName>
    <definedName name="L_Vehicle_type">#REF!</definedName>
    <definedName name="L_Years" localSheetId="11">#REF!</definedName>
    <definedName name="L_Years">#REF!</definedName>
    <definedName name="Label" localSheetId="11">#REF!</definedName>
    <definedName name="Label">#REF!</definedName>
    <definedName name="LE" localSheetId="11">#REF!</definedName>
    <definedName name="LE">#REF!</definedName>
    <definedName name="LeverageTarget" localSheetId="11">#REF!</definedName>
    <definedName name="LeverageTarget">#REF!</definedName>
    <definedName name="LinusTables">{7}</definedName>
    <definedName name="LIRE">#REF!</definedName>
    <definedName name="ListGrupper">#REF!</definedName>
    <definedName name="liuu">#REF!</definedName>
    <definedName name="lllllllllllllllllll">#REF!</definedName>
    <definedName name="llllllllllllllllllllllllll">#REF!</definedName>
    <definedName name="LME">#REF!</definedName>
    <definedName name="LocalCurrency" localSheetId="11">#REF!</definedName>
    <definedName name="LocalCurrency">#REF!</definedName>
    <definedName name="LocalCurrencyNorway">#REF!</definedName>
    <definedName name="LocalCurrencySpain">#REF!</definedName>
    <definedName name="LocalCurrencySweden">#REF!</definedName>
    <definedName name="LON_Dec_15" localSheetId="11">#REF!</definedName>
    <definedName name="LON_Dec_15">#REF!</definedName>
    <definedName name="LON_Jan_16" localSheetId="11">#REF!</definedName>
    <definedName name="LON_Jan_16">#REF!</definedName>
    <definedName name="LON_Mnth" localSheetId="11">#REF!</definedName>
    <definedName name="LON_Mnth">#REF!</definedName>
    <definedName name="LON_Mnth_BUD" localSheetId="11">#REF!</definedName>
    <definedName name="LON_Mnth_BUD">#REF!</definedName>
    <definedName name="LON_Mnth_list" localSheetId="11">#REF!</definedName>
    <definedName name="LON_Mnth_list">#REF!</definedName>
    <definedName name="LON_mtd" localSheetId="11">#REF!</definedName>
    <definedName name="LON_mtd">#REF!</definedName>
    <definedName name="LON_qtd" localSheetId="11">#REF!</definedName>
    <definedName name="LON_qtd">#REF!</definedName>
    <definedName name="LON_qtr_BUD" localSheetId="11">#REF!</definedName>
    <definedName name="LON_qtr_BUD">#REF!</definedName>
    <definedName name="Lon_YTD_BUD" localSheetId="11">#REF!</definedName>
    <definedName name="Lon_YTD_BUD">#REF!</definedName>
    <definedName name="lookup_categories" localSheetId="11">#REF!</definedName>
    <definedName name="lookup_categories">#REF!</definedName>
    <definedName name="lookup_periods" localSheetId="11">#REF!</definedName>
    <definedName name="lookup_periods">#REF!</definedName>
    <definedName name="lookup_PL" localSheetId="11">#REF!</definedName>
    <definedName name="lookup_PL">#REF!</definedName>
    <definedName name="lookup_Region" localSheetId="11">#REF!</definedName>
    <definedName name="lookup_Region">#REF!</definedName>
    <definedName name="lprg" hidden="1">{#N/A,#N/A,FALSE,"CAPREIT"}</definedName>
    <definedName name="m" hidden="1">{"Gen Sheet",#N/A,FALSE,"Gen Sheet"}</definedName>
    <definedName name="ma_revenue" localSheetId="11">#REF!</definedName>
    <definedName name="ma_revenue">#REF!</definedName>
    <definedName name="MABase">#REF!</definedName>
    <definedName name="Macro_endofact">#REF!</definedName>
    <definedName name="Macro_endyr">#REF!</definedName>
    <definedName name="Macro_startyr">#REF!</definedName>
    <definedName name="malcolm_days_avail" localSheetId="11">#REF!</definedName>
    <definedName name="malcolm_days_avail">#REF!</definedName>
    <definedName name="malcolm_days_trained" localSheetId="11">#REF!</definedName>
    <definedName name="malcolm_days_trained">#REF!</definedName>
    <definedName name="malcolm_util" localSheetId="11">#REF!</definedName>
    <definedName name="malcolm_util">#REF!</definedName>
    <definedName name="Man_Dec_15" localSheetId="11">#REF!</definedName>
    <definedName name="Man_Dec_15">#REF!</definedName>
    <definedName name="Man_Jan_16" localSheetId="11">#REF!</definedName>
    <definedName name="Man_Jan_16">#REF!</definedName>
    <definedName name="Man_Mnth" localSheetId="11">#REF!</definedName>
    <definedName name="Man_Mnth">#REF!</definedName>
    <definedName name="MAN_mnth_BUD" localSheetId="11">#REF!</definedName>
    <definedName name="MAN_mnth_BUD">#REF!</definedName>
    <definedName name="Man_mnth_list" localSheetId="11">#REF!</definedName>
    <definedName name="Man_mnth_list">#REF!</definedName>
    <definedName name="Man_Mtd" localSheetId="11">#REF!</definedName>
    <definedName name="Man_Mtd">#REF!</definedName>
    <definedName name="Man_qtd" localSheetId="11">#REF!</definedName>
    <definedName name="Man_qtd">#REF!</definedName>
    <definedName name="Management" localSheetId="11">#REF!</definedName>
    <definedName name="Management">#REF!</definedName>
    <definedName name="Manual" localSheetId="11">#REF!</definedName>
    <definedName name="Manual">#REF!</definedName>
    <definedName name="Map" localSheetId="11">[11]Map!$B$3:$C$51</definedName>
    <definedName name="Map">#REF!</definedName>
    <definedName name="Mar_15" localSheetId="11">#REF!</definedName>
    <definedName name="Mar_15">#REF!</definedName>
    <definedName name="mar_revenue" localSheetId="11">#REF!</definedName>
    <definedName name="mar_revenue">#REF!</definedName>
    <definedName name="MarAct">#REF!</definedName>
    <definedName name="MarFTE" localSheetId="11">#REF!</definedName>
    <definedName name="MarFTE">#REF!</definedName>
    <definedName name="Market_endofact">#REF!</definedName>
    <definedName name="Market_endyr">#REF!</definedName>
    <definedName name="Market_startyr">#REF!</definedName>
    <definedName name="martb" localSheetId="11">#REF!</definedName>
    <definedName name="martb">#REF!</definedName>
    <definedName name="Master" localSheetId="11">#REF!</definedName>
    <definedName name="Master">#REF!</definedName>
    <definedName name="May_15" localSheetId="11">#REF!</definedName>
    <definedName name="May_15">#REF!</definedName>
    <definedName name="MayAct" localSheetId="11">#REF!</definedName>
    <definedName name="MayAct">#REF!</definedName>
    <definedName name="MayFTE" localSheetId="11">[12]Actuals!$AQ:$AQ</definedName>
    <definedName name="MayFTE">#REF!</definedName>
    <definedName name="Maytb" localSheetId="11">#REF!</definedName>
    <definedName name="Maytb">#REF!</definedName>
    <definedName name="MCG">#REF!</definedName>
    <definedName name="MCP" localSheetId="11">#REF!</definedName>
    <definedName name="MCP">#REF!</definedName>
    <definedName name="ME" localSheetId="11">#REF!</definedName>
    <definedName name="ME">#REF!</definedName>
    <definedName name="medays02">#REF!</definedName>
    <definedName name="medical">#REF!</definedName>
    <definedName name="MES">#REF!</definedName>
    <definedName name="MESC">#REF!</definedName>
    <definedName name="MET">#REF!</definedName>
    <definedName name="metrics" localSheetId="11">#REF!</definedName>
    <definedName name="metrics">#REF!</definedName>
    <definedName name="MgmgTend" localSheetId="11">#REF!</definedName>
    <definedName name="MgmgTend">#REF!</definedName>
    <definedName name="MgtOrd" localSheetId="11">#REF!</definedName>
    <definedName name="MgtOrd">#REF!</definedName>
    <definedName name="MgtPref" localSheetId="11">#REF!</definedName>
    <definedName name="MgtPref">#REF!</definedName>
    <definedName name="MgtRoll" localSheetId="11">#REF!</definedName>
    <definedName name="MgtRoll">#REF!</definedName>
    <definedName name="MHComm" localSheetId="11">#REF!</definedName>
    <definedName name="MHComm">#REF!</definedName>
    <definedName name="MID">#REF!</definedName>
    <definedName name="MidYear" localSheetId="11">#REF!</definedName>
    <definedName name="MidYear">#REF!</definedName>
    <definedName name="mike" hidden="1">{#N/A,#N/A,FALSE,"Front";#N/A,#N/A,FALSE,"Summary";#N/A,#N/A,FALSE,"Trading";#N/A,#N/A,FALSE,"ProfitLoss";#N/A,#N/A,FALSE,"CashFlow";#N/A,#N/A,FALSE,"Balance";#N/A,#N/A,FALSE,"Finance";"Exit",#N/A,FALSE,"Exit"}</definedName>
    <definedName name="mike_days_avail" localSheetId="11">#REF!</definedName>
    <definedName name="mike_days_avail">#REF!</definedName>
    <definedName name="mike_days_trained" localSheetId="11">#REF!</definedName>
    <definedName name="mike_days_trained">#REF!</definedName>
    <definedName name="mike_util" localSheetId="11">#REF!</definedName>
    <definedName name="mike_util">#REF!</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1">#REF!</definedName>
    <definedName name="ML_1k1v5i9q">#REF!</definedName>
    <definedName name="ML_5j7u6o8m" localSheetId="11">#REF!</definedName>
    <definedName name="ML_5j7u6o8m">#REF!</definedName>
    <definedName name="ML_6j9v5u8z" localSheetId="11">#REF!</definedName>
    <definedName name="ML_6j9v5u8z">#REF!</definedName>
    <definedName name="ML_6s8x3t6z" localSheetId="11">#REF!</definedName>
    <definedName name="ML_6s8x3t6z">#REF!</definedName>
    <definedName name="ML_8d2z1j7j" localSheetId="11">#REF!</definedName>
    <definedName name="ML_8d2z1j7j">#REF!</definedName>
    <definedName name="ML_9g2r9j4w" localSheetId="11">#REF!</definedName>
    <definedName name="ML_9g2r9j4w">#REF!</definedName>
    <definedName name="ML_9j7y2o8w" localSheetId="11">#REF!</definedName>
    <definedName name="ML_9j7y2o8w">#REF!</definedName>
    <definedName name="mnth_list" localSheetId="11">#REF!</definedName>
    <definedName name="mnth_list">#REF!</definedName>
    <definedName name="mnth_lu" localSheetId="11">#REF!</definedName>
    <definedName name="mnth_lu">#REF!</definedName>
    <definedName name="Monat" localSheetId="11">#REF!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1">#REF!</definedName>
    <definedName name="Monthly_Recipients">#REF!</definedName>
    <definedName name="MonthNamesPL" localSheetId="11">#REF!</definedName>
    <definedName name="MonthNamesPL">#REF!</definedName>
    <definedName name="Months">#REF!</definedName>
    <definedName name="MonthToQuarter" localSheetId="11">#REF!</definedName>
    <definedName name="MonthToQuarter">#REF!</definedName>
    <definedName name="MPC" localSheetId="11">#REF!</definedName>
    <definedName name="MPC">#REF!</definedName>
    <definedName name="MR">#REF!</definedName>
    <definedName name="mttab" localSheetId="11">#REF!</definedName>
    <definedName name="mttab">#REF!</definedName>
    <definedName name="n">#REF!</definedName>
    <definedName name="names" localSheetId="11">#REF!</definedName>
    <definedName name="names">#REF!</definedName>
    <definedName name="NECancelcommit" localSheetId="11">#REF!</definedName>
    <definedName name="NECancelcommit">#REF!</definedName>
    <definedName name="NECancelMTD" localSheetId="11">#REF!</definedName>
    <definedName name="NECancelMTD">#REF!</definedName>
    <definedName name="NECancelUpside" localSheetId="11">#REF!</definedName>
    <definedName name="NECancelUpside">#REF!</definedName>
    <definedName name="NEG">#REF!</definedName>
    <definedName name="NENBcommit" localSheetId="11">#REF!</definedName>
    <definedName name="NENBcommit">#REF!</definedName>
    <definedName name="NENBMTD" localSheetId="11">#REF!</definedName>
    <definedName name="NENBMTD">#REF!</definedName>
    <definedName name="NENBUpside" localSheetId="11">#REF!</definedName>
    <definedName name="NENBUpside">#REF!</definedName>
    <definedName name="NERenewalCount" localSheetId="11">#REF!</definedName>
    <definedName name="NERenewalCount">#REF!</definedName>
    <definedName name="NEUpsellcommit" localSheetId="11">#REF!</definedName>
    <definedName name="NEUpsellcommit">#REF!</definedName>
    <definedName name="NEUpsellMTD" localSheetId="11">#REF!</definedName>
    <definedName name="NEUpsellMTD">#REF!</definedName>
    <definedName name="NEUpsellUpside" localSheetId="11">#REF!</definedName>
    <definedName name="NEUpsellUpside">#REF!</definedName>
    <definedName name="NEVBEUcommit" localSheetId="11">#REF!</definedName>
    <definedName name="NEVBEUcommit">#REF!</definedName>
    <definedName name="NEVBEUMTD" localSheetId="11">#REF!</definedName>
    <definedName name="NEVBEUMTD">#REF!</definedName>
    <definedName name="NEVBEUUpside" localSheetId="11">#REF!</definedName>
    <definedName name="NEVBEUUpside">#REF!</definedName>
    <definedName name="new">#REF!</definedName>
    <definedName name="New_funds_in_HF_EUR" localSheetId="11">#REF!</definedName>
    <definedName name="New_funds_in_HF_EUR">#REF!</definedName>
    <definedName name="New_Funds_in_HF_USD" localSheetId="11">#REF!</definedName>
    <definedName name="New_Funds_in_HF_USD">#REF!</definedName>
    <definedName name="NewCapAmort" localSheetId="11">#REF!</definedName>
    <definedName name="NewCapAmort">#REF!</definedName>
    <definedName name="NewCapDep" localSheetId="11">#REF!</definedName>
    <definedName name="NewCapDep">#REF!</definedName>
    <definedName name="NewDebt" localSheetId="11">#REF!</definedName>
    <definedName name="NewDebt">#REF!</definedName>
    <definedName name="NewRenewal" localSheetId="11">#REF!</definedName>
    <definedName name="NewRenewal">#REF!</definedName>
    <definedName name="ng">#REF!</definedName>
    <definedName name="ngptrend" localSheetId="11">#REF!</definedName>
    <definedName name="ngptrend">#REF!</definedName>
    <definedName name="nhz">#REF!</definedName>
    <definedName name="NIrate" localSheetId="11">#REF!</definedName>
    <definedName name="NIrate">#REF!</definedName>
    <definedName name="NIRate2002" localSheetId="11">#REF!</definedName>
    <definedName name="NIRate2002">#REF!</definedName>
    <definedName name="nominal" localSheetId="11">#REF!</definedName>
    <definedName name="nominal">#REF!</definedName>
    <definedName name="NominalCodes1" localSheetId="11">#REF!</definedName>
    <definedName name="NominalCodes1">#REF!</definedName>
    <definedName name="NominalCodes2" localSheetId="11">#REF!</definedName>
    <definedName name="NominalCodes2">#REF!</definedName>
    <definedName name="NOMINALCODES3" localSheetId="11">#REF!</definedName>
    <definedName name="NOMINALCODES3">#REF!</definedName>
    <definedName name="Non_Dov_Cap" localSheetId="11">#REF!</definedName>
    <definedName name="Non_Dov_Cap">#REF!</definedName>
    <definedName name="NORME10" localSheetId="11">#REF!</definedName>
    <definedName name="NORME10">#REF!</definedName>
    <definedName name="NORME5" localSheetId="11">#REF!</definedName>
    <definedName name="NORME5">#REF!</definedName>
    <definedName name="NORME6" localSheetId="11">#REF!</definedName>
    <definedName name="NORME6">#REF!</definedName>
    <definedName name="NORME7" localSheetId="11">#REF!</definedName>
    <definedName name="NORME7">#REF!</definedName>
    <definedName name="NORME8" localSheetId="11">#REF!</definedName>
    <definedName name="NORME8">#REF!</definedName>
    <definedName name="NORME9" localSheetId="11">#REF!</definedName>
    <definedName name="NORME9">#REF!</definedName>
    <definedName name="NorthList">#REF!</definedName>
    <definedName name="Nov_15" localSheetId="11">#REF!</definedName>
    <definedName name="Nov_15">#REF!</definedName>
    <definedName name="NovAct" localSheetId="11">#REF!</definedName>
    <definedName name="NovAct">#REF!</definedName>
    <definedName name="NovFTE" localSheetId="11">#REF!</definedName>
    <definedName name="NovFTE">#REF!</definedName>
    <definedName name="NS_BANKS" localSheetId="11">#REF!</definedName>
    <definedName name="NS_BANKS">#REF!</definedName>
    <definedName name="Num_Carte" localSheetId="11">#REF!</definedName>
    <definedName name="Num_Carte">#REF!</definedName>
    <definedName name="NW">#REF!</definedName>
    <definedName name="NYCancelcommit" localSheetId="11">#REF!</definedName>
    <definedName name="NYCancelcommit">#REF!</definedName>
    <definedName name="NYCancelMTD" localSheetId="11">#REF!</definedName>
    <definedName name="NYCancelMTD">#REF!</definedName>
    <definedName name="NYCancelUpside" localSheetId="11">#REF!</definedName>
    <definedName name="NYCancelUpside">#REF!</definedName>
    <definedName name="NYNBCommit" localSheetId="11">#REF!</definedName>
    <definedName name="NYNBCommit">#REF!</definedName>
    <definedName name="NYNBMTD" localSheetId="11">#REF!</definedName>
    <definedName name="NYNBMTD">#REF!</definedName>
    <definedName name="NYNBUpside" localSheetId="11">#REF!</definedName>
    <definedName name="NYNBUpside">#REF!</definedName>
    <definedName name="NYRenewalCount" localSheetId="11">#REF!</definedName>
    <definedName name="NYRenewalCount">#REF!</definedName>
    <definedName name="NYUpsellcommit" localSheetId="11">#REF!</definedName>
    <definedName name="NYUpsellcommit">#REF!</definedName>
    <definedName name="NYUpsellMTD" localSheetId="11">#REF!</definedName>
    <definedName name="NYUpsellMTD">#REF!</definedName>
    <definedName name="NYUpsellUpside" localSheetId="11">#REF!</definedName>
    <definedName name="NYUpsellUpside">#REF!</definedName>
    <definedName name="NYVBEUcommit" localSheetId="11">#REF!</definedName>
    <definedName name="NYVBEUcommit">#REF!</definedName>
    <definedName name="NYVBEUMTD" localSheetId="11">#REF!</definedName>
    <definedName name="NYVBEUMTD">#REF!</definedName>
    <definedName name="NYVBEUUpside" localSheetId="11">#REF!</definedName>
    <definedName name="NYVBEUUpside">#REF!</definedName>
    <definedName name="Oct_15" localSheetId="11">#REF!</definedName>
    <definedName name="Oct_15">#REF!</definedName>
    <definedName name="OctAct" localSheetId="11">#REF!</definedName>
    <definedName name="OctAct">#REF!</definedName>
    <definedName name="OctFTE" localSheetId="11">#REF!</definedName>
    <definedName name="OctFTE">#REF!</definedName>
    <definedName name="OffsetRef" localSheetId="11">#REF!</definedName>
    <definedName name="OffsetRef">#REF!</definedName>
    <definedName name="OH_INFL_2018" localSheetId="11">#REF!</definedName>
    <definedName name="OH_INFL_2018">#REF!</definedName>
    <definedName name="OH_INFL_2019" localSheetId="11">#REF!</definedName>
    <definedName name="OH_INFL_2019">#REF!</definedName>
    <definedName name="OH_INFL_2020" localSheetId="11">#REF!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1">#REF!</definedName>
    <definedName name="OngoingPayModels">#REF!</definedName>
    <definedName name="ooooooooo">#REF!</definedName>
    <definedName name="ooooooooooooooo">#REF!</definedName>
    <definedName name="ooooooooooooooooooooo">#REF!</definedName>
    <definedName name="oooooooooooooooooooooooooooo">#REF!</definedName>
    <definedName name="OP2006RF1" localSheetId="11">#REF!</definedName>
    <definedName name="OP2006RF1">#REF!</definedName>
    <definedName name="OPAct2006" localSheetId="11">#REF!</definedName>
    <definedName name="OPAct2006">#REF!</definedName>
    <definedName name="OPALRate2000" localSheetId="11">#REF!</definedName>
    <definedName name="OPALRate2000">#REF!</definedName>
    <definedName name="OPBUD05" localSheetId="11">#REF!</definedName>
    <definedName name="OPBUD05">#REF!</definedName>
    <definedName name="OpenClosed" localSheetId="11">#REF!</definedName>
    <definedName name="OpenClosed">#REF!</definedName>
    <definedName name="Opprofit" localSheetId="11">#REF!</definedName>
    <definedName name="Opprofit">#REF!</definedName>
    <definedName name="Overallequity" localSheetId="11">#REF!</definedName>
    <definedName name="Overallequity">#REF!</definedName>
    <definedName name="oztrf">#REF!</definedName>
    <definedName name="PandL1516" localSheetId="11">#REF!</definedName>
    <definedName name="PandL1516">#REF!</definedName>
    <definedName name="PandL1617" localSheetId="11">#REF!</definedName>
    <definedName name="PandL1617">#REF!</definedName>
    <definedName name="PAR">#REF!</definedName>
    <definedName name="Param_MOIS">#REF!</definedName>
    <definedName name="part_data114" localSheetId="11">#REF!</definedName>
    <definedName name="part_data114">#REF!</definedName>
    <definedName name="paul_days_avail" localSheetId="11">#REF!</definedName>
    <definedName name="paul_days_avail">#REF!</definedName>
    <definedName name="paul_days_trained" localSheetId="11">#REF!</definedName>
    <definedName name="paul_days_trained">#REF!</definedName>
    <definedName name="paul_util" localSheetId="11">#REF!</definedName>
    <definedName name="paul_util">#REF!</definedName>
    <definedName name="PAYMENT" hidden="1">{"Cash Book",#N/A,FALSE,"Cash Book"}</definedName>
    <definedName name="PaymentMethod" localSheetId="11">#REF!</definedName>
    <definedName name="PaymentMethod">#REF!</definedName>
    <definedName name="PaymentStatus" localSheetId="11">#REF!</definedName>
    <definedName name="PaymentStatus">#REF!</definedName>
    <definedName name="PEF_1" localSheetId="11">#REF!</definedName>
    <definedName name="PEF_1">#REF!</definedName>
    <definedName name="PEF_2" localSheetId="11">#REF!</definedName>
    <definedName name="PEF_2">#REF!</definedName>
    <definedName name="PEF1Ord" localSheetId="11">#REF!</definedName>
    <definedName name="PEF1Ord">#REF!</definedName>
    <definedName name="PEF1Pref" localSheetId="11">#REF!</definedName>
    <definedName name="PEF1Pref">#REF!</definedName>
    <definedName name="PEF1share" localSheetId="11">#REF!</definedName>
    <definedName name="PEF1share">#REF!</definedName>
    <definedName name="PEF2Ord" localSheetId="11">#REF!</definedName>
    <definedName name="PEF2Ord">#REF!</definedName>
    <definedName name="PEF2Pref" localSheetId="11">#REF!</definedName>
    <definedName name="PEF2Pref">#REF!</definedName>
    <definedName name="PEF2Share" localSheetId="11">#REF!</definedName>
    <definedName name="PEF2Share">#REF!</definedName>
    <definedName name="PEN">#REF!</definedName>
    <definedName name="PensionTopUpSpecifiedExpenditure" localSheetId="11">#REF!</definedName>
    <definedName name="PensionTopUpSpecifiedExpenditure">#REF!</definedName>
    <definedName name="Per" localSheetId="11">#REF!</definedName>
    <definedName name="Per">#REF!</definedName>
    <definedName name="Period">#REF!</definedName>
    <definedName name="Period_1" localSheetId="11">#REF!</definedName>
    <definedName name="Period_1">#REF!</definedName>
    <definedName name="Period_10" localSheetId="11">#REF!</definedName>
    <definedName name="Period_10">#REF!</definedName>
    <definedName name="Period_10Description" localSheetId="11">#REF!</definedName>
    <definedName name="Period_10Description">#REF!</definedName>
    <definedName name="Period_1Description" localSheetId="11">#REF!</definedName>
    <definedName name="Period_1Description">#REF!</definedName>
    <definedName name="Period_2" localSheetId="11">#REF!</definedName>
    <definedName name="Period_2">#REF!</definedName>
    <definedName name="Period_2Description" localSheetId="11">#REF!</definedName>
    <definedName name="Period_2Description">#REF!</definedName>
    <definedName name="Period_3" localSheetId="11">#REF!</definedName>
    <definedName name="Period_3">#REF!</definedName>
    <definedName name="Period_3Description" localSheetId="11">#REF!</definedName>
    <definedName name="Period_3Description">#REF!</definedName>
    <definedName name="Period_4" localSheetId="11">#REF!</definedName>
    <definedName name="Period_4">#REF!</definedName>
    <definedName name="Period_4Description" localSheetId="11">#REF!</definedName>
    <definedName name="Period_4Description">#REF!</definedName>
    <definedName name="Period_5" localSheetId="11">#REF!</definedName>
    <definedName name="Period_5">#REF!</definedName>
    <definedName name="Period_5Description" localSheetId="11">#REF!</definedName>
    <definedName name="Period_5Description">#REF!</definedName>
    <definedName name="Period_6" localSheetId="11">#REF!</definedName>
    <definedName name="Period_6">#REF!</definedName>
    <definedName name="Period_6Description" localSheetId="11">#REF!</definedName>
    <definedName name="Period_6Description">#REF!</definedName>
    <definedName name="Period_7" localSheetId="11">#REF!</definedName>
    <definedName name="Period_7">#REF!</definedName>
    <definedName name="Period_7Description" localSheetId="11">#REF!</definedName>
    <definedName name="Period_7Description">#REF!</definedName>
    <definedName name="Period_8" localSheetId="11">#REF!</definedName>
    <definedName name="Period_8">#REF!</definedName>
    <definedName name="Period_8Description" localSheetId="11">#REF!</definedName>
    <definedName name="Period_8Description">#REF!</definedName>
    <definedName name="Period_9" localSheetId="11">#REF!</definedName>
    <definedName name="Period_9">#REF!</definedName>
    <definedName name="Period_9Description" localSheetId="11">#REF!</definedName>
    <definedName name="Period_9Description">#REF!</definedName>
    <definedName name="Period2" localSheetId="11">#REF!</definedName>
    <definedName name="Period2">#REF!</definedName>
    <definedName name="PERIOD3" localSheetId="11">#REF!</definedName>
    <definedName name="PERIOD3">#REF!</definedName>
    <definedName name="PeriodEnd_1" localSheetId="11">#REF!</definedName>
    <definedName name="PeriodEnd_1">#REF!</definedName>
    <definedName name="PeriodEnd_10" localSheetId="11">#REF!</definedName>
    <definedName name="PeriodEnd_10">#REF!</definedName>
    <definedName name="PeriodEnd_10Description" localSheetId="11">#REF!</definedName>
    <definedName name="PeriodEnd_10Description">#REF!</definedName>
    <definedName name="PeriodEnd_1Description" localSheetId="11">#REF!</definedName>
    <definedName name="PeriodEnd_1Description">#REF!</definedName>
    <definedName name="PeriodEnd_2" localSheetId="11">#REF!</definedName>
    <definedName name="PeriodEnd_2">#REF!</definedName>
    <definedName name="PeriodEnd_2Description" localSheetId="11">#REF!</definedName>
    <definedName name="PeriodEnd_2Description">#REF!</definedName>
    <definedName name="PeriodEnd_3" localSheetId="11">#REF!</definedName>
    <definedName name="PeriodEnd_3">#REF!</definedName>
    <definedName name="PeriodEnd_3Description" localSheetId="11">#REF!</definedName>
    <definedName name="PeriodEnd_3Description">#REF!</definedName>
    <definedName name="PeriodEnd_4" localSheetId="11">#REF!</definedName>
    <definedName name="PeriodEnd_4">#REF!</definedName>
    <definedName name="PeriodEnd_4Description" localSheetId="11">#REF!</definedName>
    <definedName name="PeriodEnd_4Description">#REF!</definedName>
    <definedName name="PeriodEnd_5" localSheetId="11">#REF!</definedName>
    <definedName name="PeriodEnd_5">#REF!</definedName>
    <definedName name="PeriodEnd_5Description" localSheetId="11">#REF!</definedName>
    <definedName name="PeriodEnd_5Description">#REF!</definedName>
    <definedName name="PeriodEnd_6" localSheetId="11">#REF!</definedName>
    <definedName name="PeriodEnd_6">#REF!</definedName>
    <definedName name="PeriodEnd_6Description" localSheetId="11">#REF!</definedName>
    <definedName name="PeriodEnd_6Description">#REF!</definedName>
    <definedName name="PeriodEnd_7" localSheetId="11">#REF!</definedName>
    <definedName name="PeriodEnd_7">#REF!</definedName>
    <definedName name="PeriodEnd_7Description" localSheetId="11">#REF!</definedName>
    <definedName name="PeriodEnd_7Description">#REF!</definedName>
    <definedName name="PeriodEnd_8" localSheetId="11">#REF!</definedName>
    <definedName name="PeriodEnd_8">#REF!</definedName>
    <definedName name="PeriodEnd_8Description" localSheetId="11">#REF!</definedName>
    <definedName name="PeriodEnd_8Description">#REF!</definedName>
    <definedName name="PeriodEnd_9" localSheetId="11">#REF!</definedName>
    <definedName name="PeriodEnd_9">#REF!</definedName>
    <definedName name="PeriodEnd_9Description" localSheetId="11">#REF!</definedName>
    <definedName name="PeriodEnd_9Description">#REF!</definedName>
    <definedName name="Periodos" localSheetId="11">#REF!</definedName>
    <definedName name="Periodos">#REF!</definedName>
    <definedName name="PeriodToM">#REF!</definedName>
    <definedName name="perm_temp_cas" localSheetId="11">#REF!</definedName>
    <definedName name="perm_temp_cas">#REF!</definedName>
    <definedName name="PERP" localSheetId="11">#REF!</definedName>
    <definedName name="PERP">#REF!</definedName>
    <definedName name="PEY08" localSheetId="11">#REF!</definedName>
    <definedName name="PEY08">#REF!</definedName>
    <definedName name="PEY09" localSheetId="11">#REF!</definedName>
    <definedName name="PEY09">#REF!</definedName>
    <definedName name="pg1" localSheetId="11">#REF!</definedName>
    <definedName name="pg1">#REF!</definedName>
    <definedName name="Pivot_COS" localSheetId="11">#REF!</definedName>
    <definedName name="Pivot_COS">#REF!</definedName>
    <definedName name="Pivot_NONT" localSheetId="11">#REF!</definedName>
    <definedName name="Pivot_NONT">#REF!</definedName>
    <definedName name="Pivot_NonTrading" localSheetId="11">#REF!</definedName>
    <definedName name="Pivot_NonTrading">#REF!</definedName>
    <definedName name="Pivot_Ohs" localSheetId="11">#REF!</definedName>
    <definedName name="Pivot_Ohs">#REF!</definedName>
    <definedName name="Pivot_Rev" localSheetId="11">#REF!</definedName>
    <definedName name="Pivot_Rev">#REF!</definedName>
    <definedName name="Pivot_SM" localSheetId="11">#REF!</definedName>
    <definedName name="Pivot_SM">#REF!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1">#REF!</definedName>
    <definedName name="PostingColumn1">#REF!</definedName>
    <definedName name="PostStub" localSheetId="11">#REF!</definedName>
    <definedName name="PostStub">#REF!</definedName>
    <definedName name="pp">#REF!</definedName>
    <definedName name="ppp">#REF!</definedName>
    <definedName name="pppp">#REF!</definedName>
    <definedName name="ppppp">#REF!</definedName>
    <definedName name="ppppppppppppp">#REF!</definedName>
    <definedName name="PreStub" localSheetId="11">#REF!</definedName>
    <definedName name="PreStub">#REF!</definedName>
    <definedName name="_xlnm.Print_Area" localSheetId="3">'Annual BS'!$B$1:$N$102</definedName>
    <definedName name="_xlnm.Print_Area" localSheetId="6">'Annual Cash Conversion'!$B$1:$N$31</definedName>
    <definedName name="_xlnm.Print_Area" localSheetId="4">'Annual CF'!$B$1:$N$65</definedName>
    <definedName name="_xlnm.Print_Area" localSheetId="2">'Annual IS'!$B$1:$N$52</definedName>
    <definedName name="_xlnm.Print_Area" localSheetId="5">'Annual ROCE'!$B$1:$N$29</definedName>
    <definedName name="_xlnm.Print_Area" localSheetId="1">'Annual Summary'!$B$1:$S$160</definedName>
    <definedName name="_xlnm.Print_Area" localSheetId="11">Glosary!$B$1:$E$36</definedName>
    <definedName name="_xlnm.Print_Area" localSheetId="9">'Quarterly BS'!$B$1:$V$97</definedName>
    <definedName name="_xlnm.Print_Area" localSheetId="10">'Quarterly CF'!$B$1:$R$65</definedName>
    <definedName name="_xlnm.Print_Area" localSheetId="8">'Quarterly IS'!$B$1:$R$53</definedName>
    <definedName name="_xlnm.Print_Area" localSheetId="7">'Quarterly Summary'!$B$1:$Z$158</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1">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1">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1">#REF!</definedName>
    <definedName name="Print_Cover_Tabs">#REF!</definedName>
    <definedName name="Print_CSC_Report_2" localSheetId="6">{"CSC_1",#N/A,FALSE,"CSC Outputs";"CSC_2",#N/A,FALSE,"CSC Outputs"}</definedName>
    <definedName name="Print_CSC_Report_2" localSheetId="11">{"CSC_1",#N/A,FALSE,"CSC Outputs";"CSC_2",#N/A,FALSE,"CSC Outputs"}</definedName>
    <definedName name="Print_CSC_Report_2">{"CSC_1",#N/A,FALSE,"CSC Outputs";"CSC_2",#N/A,FALSE,"CSC Outputs"}</definedName>
    <definedName name="Print_Document" localSheetId="11">#REF!</definedName>
    <definedName name="Print_Document">#REF!</definedName>
    <definedName name="print_phasing" localSheetId="11">#REF!,#REF!</definedName>
    <definedName name="print_phasing">#REF!,#REF!</definedName>
    <definedName name="print_summary" localSheetId="11">#REF!,#REF!,#REF!,#REF!,#REF!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1">#REF!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ority" localSheetId="11">#REF!</definedName>
    <definedName name="Priority">#REF!</definedName>
    <definedName name="Prodname" localSheetId="11">#REF!</definedName>
    <definedName name="Prodname">#REF!</definedName>
    <definedName name="Profits" localSheetId="11">#REF!</definedName>
    <definedName name="Profits">#REF!</definedName>
    <definedName name="Project">#REF!</definedName>
    <definedName name="Project_Name" localSheetId="11">#REF!</definedName>
    <definedName name="Project_Name">#REF!</definedName>
    <definedName name="PROJECTED_FIRST_QUARTER_AND_SECOND_QUARTER_2000_FIXED_ASSETS" localSheetId="11">#REF!</definedName>
    <definedName name="PROJECTED_FIRST_QUARTER_AND_SECOND_QUARTER_2000_FIXED_ASSETS">#REF!</definedName>
    <definedName name="PROJECTED_FULL_YEAR_1999_FIXED_ASSETS" localSheetId="11">#REF!</definedName>
    <definedName name="PROJECTED_FULL_YEAR_1999_FIXED_ASSETS">#REF!</definedName>
    <definedName name="PROJECTED_FULL_YEAR_2000_FIXED_ASSETS" localSheetId="11">#REF!</definedName>
    <definedName name="PROJECTED_FULL_YEAR_2000_FIXED_ASSETS">#REF!</definedName>
    <definedName name="PROJECTED_Q3_AND_Q4_1999____Q1_AND_Q2_2000_FIXED_ASSETS" localSheetId="11">#REF!</definedName>
    <definedName name="PROJECTED_Q3_AND_Q4_1999____Q1_AND_Q2_2000_FIXED_ASSETS">#REF!</definedName>
    <definedName name="PROJECTED_THIRD_AND_FOURTH_QUARTER_1999_FIXED_ASSETS" localSheetId="11">#REF!</definedName>
    <definedName name="PROJECTED_THIRD_AND_FOURTH_QUARTER_1999_FIXED_ASSETS">#REF!</definedName>
    <definedName name="PROJECTED_THIRD_AND_FOURTH_QUARTER_2000_FIXED_ASSETS" localSheetId="11">#REF!</definedName>
    <definedName name="PROJECTED_THIRD_AND_FOURTH_QUARTER_2000_FIXED_ASSETS">#REF!</definedName>
    <definedName name="ProjectName">{"BU Name or Client/Project Name"}</definedName>
    <definedName name="PROJECTTYPE" localSheetId="11">#REF!</definedName>
    <definedName name="PROJECTTYPE">#REF!</definedName>
    <definedName name="PubExceptionalSpecificiedExpenditure" localSheetId="11">#REF!</definedName>
    <definedName name="PubExceptionalSpecificiedExpenditure">#REF!</definedName>
    <definedName name="PYME">#REF!</definedName>
    <definedName name="q">#REF!</definedName>
    <definedName name="Q1F_Period" localSheetId="11">#REF!</definedName>
    <definedName name="Q1F_Period">#REF!</definedName>
    <definedName name="Q1F_YTD" localSheetId="11">#REF!</definedName>
    <definedName name="Q1F_YTD">#REF!</definedName>
    <definedName name="q2_99" localSheetId="11">#REF!</definedName>
    <definedName name="q2_99">#REF!</definedName>
    <definedName name="qqqqqqq">#REF!</definedName>
    <definedName name="qqqqqqqqqq" hidden="1">#REF!</definedName>
    <definedName name="qqqqqqqqqqqqqqqqqqq" hidden="1">#REF!</definedName>
    <definedName name="qqqqqqqqqqqqqqqqqqqqqqqqqq">#REF!</definedName>
    <definedName name="QTR_MAN_BUD" localSheetId="11">#REF!</definedName>
    <definedName name="QTR_MAN_BUD">#REF!</definedName>
    <definedName name="Quarter_Number" localSheetId="11">#REF!</definedName>
    <definedName name="Quarter_Number">#REF!</definedName>
    <definedName name="QuarterlyPIKPandLCharge" localSheetId="11">#REF!</definedName>
    <definedName name="QuarterlyPIKPandLCharge">#REF!</definedName>
    <definedName name="QuarterNames" localSheetId="11">#REF!</definedName>
    <definedName name="QuarterNames">#REF!</definedName>
    <definedName name="qw">#REF!</definedName>
    <definedName name="qwer">#REF!</definedName>
    <definedName name="qwq">#REF!</definedName>
    <definedName name="range1" localSheetId="11">#REF!</definedName>
    <definedName name="range1">#REF!</definedName>
    <definedName name="re">#REF!</definedName>
    <definedName name="reeeeeeeeeeeeeee">#REF!</definedName>
    <definedName name="Refinancing_date" localSheetId="11">#REF!</definedName>
    <definedName name="Refinancing_date">#REF!</definedName>
    <definedName name="reg">#REF!</definedName>
    <definedName name="REGISTEREDNAME1" localSheetId="11">#REF!</definedName>
    <definedName name="REGISTEREDNAME1">#REF!</definedName>
    <definedName name="REGISTEREDNAME2" localSheetId="11">#REF!</definedName>
    <definedName name="REGISTEREDNAME2">#REF!</definedName>
    <definedName name="REIGESTEREDNAME3" localSheetId="11">#REF!</definedName>
    <definedName name="REIGESTEREDNAME3">#REF!</definedName>
    <definedName name="Report_date" localSheetId="11">#REF!</definedName>
    <definedName name="Report_date">#REF!</definedName>
    <definedName name="Reportes" localSheetId="11">#REF!</definedName>
    <definedName name="Reportes">#REF!</definedName>
    <definedName name="Reportingdate" localSheetId="11">#REF!</definedName>
    <definedName name="Reportingdate">#REF!</definedName>
    <definedName name="ReportSector" localSheetId="11">#REF!</definedName>
    <definedName name="ReportSector">#REF!</definedName>
    <definedName name="Responsibilities" localSheetId="11">#REF!</definedName>
    <definedName name="Responsibilities">#REF!</definedName>
    <definedName name="retew">#REF!</definedName>
    <definedName name="retgrer">#REF!</definedName>
    <definedName name="retret">#REF!</definedName>
    <definedName name="retweertret">#REF!</definedName>
    <definedName name="rev" hidden="1">{"SchL1",#N/A,FALSE,"Schedules";"SchL2",#N/A,FALSE,"Schedules"}</definedName>
    <definedName name="revenuerunrate" localSheetId="11">#REF!</definedName>
    <definedName name="revenuerun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1">OFFSET(#REF!,0,0,1,COUNT(#REF!))</definedName>
    <definedName name="rngHCost" comment="Flexible cost range for KPI chart">OFFSET(#REF!,0,0,1,COUNT(#REF!))</definedName>
    <definedName name="rngHDate" comment="Flexible date range for KPI chart" localSheetId="11">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PI" localSheetId="11">#REF!</definedName>
    <definedName name="RPI">#REF!</definedName>
    <definedName name="rrfc">#REF!</definedName>
    <definedName name="rrrrrrrrr">#REF!</definedName>
    <definedName name="rrrrrrrrrrrr">#REF!</definedName>
    <definedName name="s">#REF!</definedName>
    <definedName name="sa" hidden="1">#REF!</definedName>
    <definedName name="sada">#REF!</definedName>
    <definedName name="sadasd" hidden="1">{"Bank Rec",#N/A,FALSE,"Bank Rec";"Cash Book",#N/A,FALSE,"Cash Book";"Gen Sheet",#N/A,FALSE,"Gen Sheet"}</definedName>
    <definedName name="SalesPrice" localSheetId="11">#REF!</definedName>
    <definedName name="SalesPrice">#REF!</definedName>
    <definedName name="SAPBEXhrIndnt" hidden="1">1</definedName>
    <definedName name="SAPBEXrevision" hidden="1">1</definedName>
    <definedName name="SAPBEXsysID" hidden="1">"B24"</definedName>
    <definedName name="SAPBEXwbID" hidden="1">"42WMI3CVU0FHHTCAKK0CL6D05"</definedName>
    <definedName name="Scenario">#REF!</definedName>
    <definedName name="SCOT">#REF!</definedName>
    <definedName name="sd">#REF!</definedName>
    <definedName name="sdd">#REF!</definedName>
    <definedName name="sddw">#REF!</definedName>
    <definedName name="sdf">#REF!</definedName>
    <definedName name="sdfskjl">#REF!</definedName>
    <definedName name="sdsx">#REF!</definedName>
    <definedName name="sectionNames" localSheetId="11">#REF!</definedName>
    <definedName name="sectionNames">#REF!</definedName>
    <definedName name="SECTOR" localSheetId="11">#REF!</definedName>
    <definedName name="SECTOR">#REF!</definedName>
    <definedName name="Sep_15" localSheetId="11">#REF!</definedName>
    <definedName name="Sep_15">#REF!</definedName>
    <definedName name="SeptAct" localSheetId="11">#REF!</definedName>
    <definedName name="SeptAct">#REF!</definedName>
    <definedName name="SeptFTE" localSheetId="11">#REF!</definedName>
    <definedName name="SeptFTE">#REF!</definedName>
    <definedName name="Septtb" localSheetId="11">#REF!</definedName>
    <definedName name="Septtb">#REF!</definedName>
    <definedName name="SETOFBOOKSNAME1" localSheetId="11">#REF!</definedName>
    <definedName name="SETOFBOOKSNAME1">#REF!</definedName>
    <definedName name="shareclasses" localSheetId="11">#REF!</definedName>
    <definedName name="shareclasses">#REF!</definedName>
    <definedName name="Shareofwallet">#REF!</definedName>
    <definedName name="Shareofwallet_minus0.95">#REF!</definedName>
    <definedName name="Shareofwallet_plus0.95">#REF!</definedName>
    <definedName name="Shares2000Act" localSheetId="11">#REF!</definedName>
    <definedName name="Shares2000Act">#REF!</definedName>
    <definedName name="Shares2001Act" localSheetId="11">#REF!</definedName>
    <definedName name="Shares2001Act">#REF!</definedName>
    <definedName name="Shares2001For" localSheetId="11">#REF!</definedName>
    <definedName name="Shares2001For">#REF!</definedName>
    <definedName name="SHELL" localSheetId="11">#REF!</definedName>
    <definedName name="SHELL">#REF!</definedName>
    <definedName name="Shield1.5" localSheetId="11">#REF!</definedName>
    <definedName name="Shield1.5">#REF!</definedName>
    <definedName name="SHO" localSheetId="11">#REF!</definedName>
    <definedName name="SHO">#REF!</definedName>
    <definedName name="SHOTTON">#REF!</definedName>
    <definedName name="SIC_DISC_2018" localSheetId="11">#REF!</definedName>
    <definedName name="SIC_DISC_2018">#REF!</definedName>
    <definedName name="SIC_DISC_2019" localSheetId="11">#REF!</definedName>
    <definedName name="SIC_DISC_2019">#REF!</definedName>
    <definedName name="SIC_DISC_2020" localSheetId="11">#REF!</definedName>
    <definedName name="SIC_DISC_2020">#REF!</definedName>
    <definedName name="SIRate2000" localSheetId="11">#REF!</definedName>
    <definedName name="SIRate2000">#REF!</definedName>
    <definedName name="SO" hidden="1">{"SchI1",#N/A,FALSE,"Schedules";"SchI2",#N/A,FALSE,"Schedules"}</definedName>
    <definedName name="SocialSecurityIn" localSheetId="11">#REF!</definedName>
    <definedName name="SocialSecurityIn">#REF!</definedName>
    <definedName name="Société" localSheetId="11">#REF!</definedName>
    <definedName name="Société">#REF!</definedName>
    <definedName name="Sociétés" localSheetId="11">#REF!</definedName>
    <definedName name="Sociétés">#REF!</definedName>
    <definedName name="Sociétés2" localSheetId="11">#REF!</definedName>
    <definedName name="Sociétés2">#REF!</definedName>
    <definedName name="SouthCancelcommit" localSheetId="11">#REF!</definedName>
    <definedName name="SouthCancelcommit">#REF!</definedName>
    <definedName name="SouthCancelMTD" localSheetId="11">#REF!</definedName>
    <definedName name="SouthCancelMTD">#REF!</definedName>
    <definedName name="SouthCancelUpside" localSheetId="11">#REF!</definedName>
    <definedName name="SouthCancelUpside">#REF!</definedName>
    <definedName name="SouthNBCommit" localSheetId="11">#REF!</definedName>
    <definedName name="SouthNBCommit">#REF!</definedName>
    <definedName name="SouthNBMTD" localSheetId="11">#REF!</definedName>
    <definedName name="SouthNBMTD">#REF!</definedName>
    <definedName name="SouthNBUpside" localSheetId="11">#REF!</definedName>
    <definedName name="SouthNBUpside">#REF!</definedName>
    <definedName name="SouthRenewalCount" localSheetId="11">#REF!</definedName>
    <definedName name="SouthRenewalCount">#REF!</definedName>
    <definedName name="SouthUpsellcommit" localSheetId="11">#REF!</definedName>
    <definedName name="SouthUpsellcommit">#REF!</definedName>
    <definedName name="SouthUpsellMTD" localSheetId="11">#REF!</definedName>
    <definedName name="SouthUpsellMTD">#REF!</definedName>
    <definedName name="SouthUpsellUpside" localSheetId="11">#REF!</definedName>
    <definedName name="SouthUpsellUpside">#REF!</definedName>
    <definedName name="SouthVBEUcommit" localSheetId="11">#REF!</definedName>
    <definedName name="SouthVBEUcommit">#REF!</definedName>
    <definedName name="SouthVBEUMTD" localSheetId="11">#REF!</definedName>
    <definedName name="SouthVBEUMTD">#REF!</definedName>
    <definedName name="SouthVBEUUpside" localSheetId="11">#REF!</definedName>
    <definedName name="SouthVBEUUpside">#REF!</definedName>
    <definedName name="Spot_Rate_EUR_USD_Coinvestors" localSheetId="11">#REF!</definedName>
    <definedName name="Spot_Rate_EUR_USD_Coinvestors">#REF!</definedName>
    <definedName name="Spot_Rate_EUR_USD_HF" localSheetId="11">#REF!</definedName>
    <definedName name="Spot_Rate_EUR_USD_HF">#REF!</definedName>
    <definedName name="SR_PER_CAR_2018" localSheetId="11">#REF!</definedName>
    <definedName name="SR_PER_CAR_2018">#REF!</definedName>
    <definedName name="SR_PER_CAR_2019" localSheetId="11">#REF!</definedName>
    <definedName name="SR_PER_CAR_2019">#REF!</definedName>
    <definedName name="SR_PER_CAR_2020" localSheetId="11">#REF!</definedName>
    <definedName name="SR_PER_CAR_2020">#REF!</definedName>
    <definedName name="SSCHR" localSheetId="11">#REF!</definedName>
    <definedName name="SSCHR">#REF!</definedName>
    <definedName name="SSCRep" localSheetId="11">#REF!</definedName>
    <definedName name="SSCRep">#REF!</definedName>
    <definedName name="SSCRevs" localSheetId="11">#REF!</definedName>
    <definedName name="SSCRevs">#REF!</definedName>
    <definedName name="ssss" hidden="1">#REF!</definedName>
    <definedName name="ST_RNG" localSheetId="11">#REF!</definedName>
    <definedName name="ST_RNG">#REF!</definedName>
    <definedName name="Standard_hours" localSheetId="11">#REF!</definedName>
    <definedName name="Standard_hours">#REF!</definedName>
    <definedName name="Start_input" localSheetId="11">#REF!</definedName>
    <definedName name="Start_input">#REF!</definedName>
    <definedName name="StartDate">#REF!</definedName>
    <definedName name="Status" localSheetId="11">#REF!</definedName>
    <definedName name="Status">#REF!</definedName>
    <definedName name="Stub">#REF!</definedName>
    <definedName name="SUBS2" localSheetId="11">#REF!</definedName>
    <definedName name="SUBS2">#REF!</definedName>
    <definedName name="SUBS3" localSheetId="11">#REF!</definedName>
    <definedName name="SUBS3">#REF!</definedName>
    <definedName name="Summary" hidden="1">#REF!</definedName>
    <definedName name="switch" localSheetId="11">#REF!</definedName>
    <definedName name="switch">#REF!</definedName>
    <definedName name="t" hidden="1">#REF!</definedName>
    <definedName name="T0CODE1" localSheetId="11">#REF!</definedName>
    <definedName name="T0CODE1">#REF!</definedName>
    <definedName name="T0CODE2" localSheetId="11">#REF!</definedName>
    <definedName name="T0CODE2">#REF!</definedName>
    <definedName name="Tax_rate" localSheetId="11">#REF!</definedName>
    <definedName name="Tax_rate">#REF!</definedName>
    <definedName name="tdef">#REF!</definedName>
    <definedName name="TEES">#REF!</definedName>
    <definedName name="Term" localSheetId="11">#REF!</definedName>
    <definedName name="Term">#REF!</definedName>
    <definedName name="Test10" localSheetId="11">#REF!</definedName>
    <definedName name="Test10">#REF!</definedName>
    <definedName name="TEXT1" localSheetId="11">#REF!</definedName>
    <definedName name="TEXT1">#REF!</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1">OFFSET(#REF!,1,,COUNTA(#REF!)-1)</definedName>
    <definedName name="Top_Name_Back">OFFSET(#REF!,1,,COUNTA(#REF!)-1)</definedName>
    <definedName name="Top_Name_Front" localSheetId="11">OFFSET(#REF!,1,,COUNTA(#REF!)-1)</definedName>
    <definedName name="Top_Name_Front">OFFSET(#REF!,1,,COUNTA(#REF!)-1)</definedName>
    <definedName name="TopIDVal" localSheetId="11">#REF!</definedName>
    <definedName name="TopIDVal">#REF!</definedName>
    <definedName name="TopKeep" localSheetId="11">#REF!</definedName>
    <definedName name="TopKeep">#REF!</definedName>
    <definedName name="TopOfTable_Table_1">#REF!</definedName>
    <definedName name="TOS">#REF!</definedName>
    <definedName name="Totalcost">#REF!</definedName>
    <definedName name="TRef1" localSheetId="11">#REF!</definedName>
    <definedName name="TRef1">#REF!</definedName>
    <definedName name="TRef2" localSheetId="11">#REF!</definedName>
    <definedName name="TRef2">#REF!</definedName>
    <definedName name="TRGC10" localSheetId="11">#REF!</definedName>
    <definedName name="TRGC10">#REF!</definedName>
    <definedName name="TRGC5" localSheetId="11">#REF!</definedName>
    <definedName name="TRGC5">#REF!</definedName>
    <definedName name="TRGC6" localSheetId="11">#REF!</definedName>
    <definedName name="TRGC6">#REF!</definedName>
    <definedName name="TRGC7" localSheetId="11">#REF!</definedName>
    <definedName name="TRGC7">#REF!</definedName>
    <definedName name="TRGC8" localSheetId="11">#REF!</definedName>
    <definedName name="TRGC8">#REF!</definedName>
    <definedName name="TRGC9" localSheetId="11">#REF!</definedName>
    <definedName name="TRGC9">#REF!</definedName>
    <definedName name="TRIB10" localSheetId="11">#REF!</definedName>
    <definedName name="TRIB10">#REF!</definedName>
    <definedName name="TRIB5" localSheetId="11">#REF!</definedName>
    <definedName name="TRIB5">#REF!</definedName>
    <definedName name="TRIB6" localSheetId="11">#REF!</definedName>
    <definedName name="TRIB6">#REF!</definedName>
    <definedName name="TRIB7" localSheetId="11">#REF!</definedName>
    <definedName name="TRIB7">#REF!</definedName>
    <definedName name="TRIB8" localSheetId="11">#REF!</definedName>
    <definedName name="TRIB8">#REF!</definedName>
    <definedName name="TRIB9" localSheetId="11">#REF!</definedName>
    <definedName name="TRIB9">#REF!</definedName>
    <definedName name="TRIC10" localSheetId="11">#REF!</definedName>
    <definedName name="TRIC10">#REF!</definedName>
    <definedName name="TRIC5" localSheetId="11">#REF!</definedName>
    <definedName name="TRIC5">#REF!</definedName>
    <definedName name="TRIC6" localSheetId="11">#REF!</definedName>
    <definedName name="TRIC6">#REF!</definedName>
    <definedName name="TRIC7" localSheetId="11">#REF!</definedName>
    <definedName name="TRIC7">#REF!</definedName>
    <definedName name="TRIC8" localSheetId="11">#REF!</definedName>
    <definedName name="TRIC8">#REF!</definedName>
    <definedName name="TRIC9" localSheetId="11">#REF!</definedName>
    <definedName name="TRIC9">#REF!</definedName>
    <definedName name="TRIMI10" localSheetId="11">#REF!</definedName>
    <definedName name="TRIMI10">#REF!</definedName>
    <definedName name="TRIMI5" localSheetId="11">#REF!</definedName>
    <definedName name="TRIMI5">#REF!</definedName>
    <definedName name="TRIMI6" localSheetId="11">#REF!</definedName>
    <definedName name="TRIMI6">#REF!</definedName>
    <definedName name="TRIMI7" localSheetId="11">#REF!</definedName>
    <definedName name="TRIMI7">#REF!</definedName>
    <definedName name="TRIMI8" localSheetId="11">#REF!</definedName>
    <definedName name="TRIMI8">#REF!</definedName>
    <definedName name="TRIMI9" localSheetId="11">#REF!</definedName>
    <definedName name="TRIMI9">#REF!</definedName>
    <definedName name="TRIMII10" localSheetId="11">#REF!</definedName>
    <definedName name="TRIMII10">#REF!</definedName>
    <definedName name="TRIMII5" localSheetId="11">#REF!</definedName>
    <definedName name="TRIMII5">#REF!</definedName>
    <definedName name="TRIMII6" localSheetId="11">#REF!</definedName>
    <definedName name="TRIMII6">#REF!</definedName>
    <definedName name="TRIMII7" localSheetId="11">#REF!</definedName>
    <definedName name="TRIMII7">#REF!</definedName>
    <definedName name="TRIMII8" localSheetId="11">#REF!</definedName>
    <definedName name="TRIMII8">#REF!</definedName>
    <definedName name="TRIMII9" localSheetId="11">#REF!</definedName>
    <definedName name="TRIMII9">#REF!</definedName>
    <definedName name="trreed">#REF!</definedName>
    <definedName name="trtgh">#REF!</definedName>
    <definedName name="trtzre">#REF!</definedName>
    <definedName name="trzrtr">#REF!</definedName>
    <definedName name="TT_01CODES" localSheetId="11">#REF!</definedName>
    <definedName name="TT_01CODES">#REF!</definedName>
    <definedName name="ttttttttttt">#REF!</definedName>
    <definedName name="tttttttttttt">#REF!</definedName>
    <definedName name="two" hidden="1">#REF!</definedName>
    <definedName name="u">#REF!</definedName>
    <definedName name="ui" hidden="1">#REF!</definedName>
    <definedName name="uj">#REF!</definedName>
    <definedName name="UK_mnth" localSheetId="11">#REF!</definedName>
    <definedName name="UK_mnth">#REF!</definedName>
    <definedName name="UK_Mnth_BUD" localSheetId="11">#REF!</definedName>
    <definedName name="UK_Mnth_BUD">#REF!</definedName>
    <definedName name="UK_newtb" localSheetId="11">#REF!</definedName>
    <definedName name="UK_newtb">#REF!</definedName>
    <definedName name="UK_qtd" localSheetId="11">#REF!</definedName>
    <definedName name="UK_qtd">#REF!</definedName>
    <definedName name="UK_Qtr_BUD" localSheetId="11">#REF!</definedName>
    <definedName name="UK_Qtr_BUD">#REF!</definedName>
    <definedName name="UK_ytd" localSheetId="11">#REF!</definedName>
    <definedName name="UK_ytd">#REF!</definedName>
    <definedName name="UK_Ytd_BUD" localSheetId="11">#REF!</definedName>
    <definedName name="UK_Ytd_BUD">#REF!</definedName>
    <definedName name="Unemployment_minus0.95">#REF!</definedName>
    <definedName name="Unemployment_plus0.95">#REF!</definedName>
    <definedName name="Unemployment_rate">#REF!</definedName>
    <definedName name="UnitAct" localSheetId="11">#REF!</definedName>
    <definedName name="UnitAct">#REF!</definedName>
    <definedName name="unref" localSheetId="11">#REF!</definedName>
    <definedName name="unref">#REF!</definedName>
    <definedName name="UNTOTS">#REF!</definedName>
    <definedName name="Ursprung">#REF!</definedName>
    <definedName name="US_mnth" localSheetId="11">#REF!</definedName>
    <definedName name="US_mnth">#REF!</definedName>
    <definedName name="US_qtd" localSheetId="11">#REF!</definedName>
    <definedName name="US_qtd">#REF!</definedName>
    <definedName name="US_TB" localSheetId="11">#REF!</definedName>
    <definedName name="US_TB">#REF!</definedName>
    <definedName name="US_ytd" localSheetId="11">#REF!</definedName>
    <definedName name="US_ytd">#REF!</definedName>
    <definedName name="USA_Mnth_BUD" localSheetId="11">#REF!</definedName>
    <definedName name="USA_Mnth_BUD">#REF!</definedName>
    <definedName name="USA_Qtr_Bud" localSheetId="11">#REF!</definedName>
    <definedName name="USA_Qtr_Bud">#REF!</definedName>
    <definedName name="USA_Ytd_BUD" localSheetId="11">#REF!</definedName>
    <definedName name="USA_Ytd_BUD">#REF!</definedName>
    <definedName name="uuuuuuuuuu">#REF!</definedName>
    <definedName name="uuuuuuuuuuuuuuuuuuuuuuuu">#REF!</definedName>
    <definedName name="uzttuztu">#REF!</definedName>
    <definedName name="v" hidden="1">#REF!</definedName>
    <definedName name="val_date" localSheetId="11">#REF!</definedName>
    <definedName name="val_date">#REF!</definedName>
    <definedName name="Value">#REF!</definedName>
    <definedName name="VAT_Rate" localSheetId="11">#REF!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1">#REF!</definedName>
    <definedName name="Version_local">#REF!</definedName>
    <definedName name="vetab" localSheetId="11">#REF!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1">#REF!</definedName>
    <definedName name="Volumes">#REF!</definedName>
    <definedName name="Vote_revenue2019Budget" localSheetId="11">#REF!</definedName>
    <definedName name="Vote_revenue2019Budget">#REF!</definedName>
    <definedName name="Vote_revenue2020Budget" localSheetId="11">#REF!</definedName>
    <definedName name="Vote_revenue2020Budget">#REF!</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1">#REF!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1">#REF!</definedName>
    <definedName name="WCpercent">#REF!</definedName>
    <definedName name="Week_day" localSheetId="11">#REF!</definedName>
    <definedName name="Week_day">#REF!</definedName>
    <definedName name="Week_no" localSheetId="11">#REF!</definedName>
    <definedName name="Week_no">#REF!</definedName>
    <definedName name="Weekday_choice" localSheetId="11">#REF!</definedName>
    <definedName name="Weekday_choice">#REF!</definedName>
    <definedName name="Weekly_Recipients" localSheetId="11">#REF!</definedName>
    <definedName name="Weekly_Recipients">#REF!</definedName>
    <definedName name="weer">#REF!</definedName>
    <definedName name="werewte">#REF!</definedName>
    <definedName name="werw">#REF!</definedName>
    <definedName name="WestCancelcommit" localSheetId="11">#REF!</definedName>
    <definedName name="WestCancelcommit">#REF!</definedName>
    <definedName name="WestCancelMTD" localSheetId="11">#REF!</definedName>
    <definedName name="WestCancelMTD">#REF!</definedName>
    <definedName name="WestCancelUpside" localSheetId="11">#REF!</definedName>
    <definedName name="WestCancelUpside">#REF!</definedName>
    <definedName name="WestNBcommit" localSheetId="11">#REF!</definedName>
    <definedName name="WestNBcommit">#REF!</definedName>
    <definedName name="WestNBMTD" localSheetId="11">#REF!</definedName>
    <definedName name="WestNBMTD">#REF!</definedName>
    <definedName name="WestNBUpside" localSheetId="11">#REF!</definedName>
    <definedName name="WestNBUpside">#REF!</definedName>
    <definedName name="WestRenewalCount" localSheetId="11">#REF!</definedName>
    <definedName name="WestRenewalCount">#REF!</definedName>
    <definedName name="WestUpsellcommit" localSheetId="11">#REF!</definedName>
    <definedName name="WestUpsellcommit">#REF!</definedName>
    <definedName name="WestUpsellMTD" localSheetId="11">#REF!</definedName>
    <definedName name="WestUpsellMTD">#REF!</definedName>
    <definedName name="WestUpsellUpside" localSheetId="11">#REF!</definedName>
    <definedName name="WestUpsellUpside">#REF!</definedName>
    <definedName name="WestVBEUcommit" localSheetId="11">#REF!</definedName>
    <definedName name="WestVBEUcommit">#REF!</definedName>
    <definedName name="WestVBEUMTD" localSheetId="11">#REF!</definedName>
    <definedName name="WestVBEUMTD">#REF!</definedName>
    <definedName name="WestVBEUUpside" localSheetId="11">#REF!</definedName>
    <definedName name="WestVBEUUpside">#REF!</definedName>
    <definedName name="wewe">#REF!</definedName>
    <definedName name="wfgfdhb">#REF!</definedName>
    <definedName name="wq">#REF!</definedName>
    <definedName name="wrn.2._.pagers." hidden="1">{"Cover",#N/A,FALSE,"Cover";"Summary",#N/A,FALSE,"Summarpage"}</definedName>
    <definedName name="wrn.ACTUAL._.ACTIVITY._.SECTION." hidden="1">{"ACTUAL",#N/A,FALSE,"ACTUAL"}</definedName>
    <definedName name="wrn.all." hidden="1">{"Bank Rec",#N/A,FALSE,"Bank Rec";"Cash Book",#N/A,FALSE,"Cash Book";"Gen Sheet",#N/A,FALSE,"Gen Sheet"}</definedName>
    <definedName name="wrn.allpages." hidden="1">{#N/A,#N/A,TRUE,"Historicals";#N/A,#N/A,TRUE,"Charts";#N/A,#N/A,TRUE,"Forecasts"}</definedName>
    <definedName name="wrn.ASSETS." hidden="1">{"ASSETS_1",#N/A,FALSE,"ASSETS";"ASSETS_2",#N/A,FALSE,"ASSETS"}</definedName>
    <definedName name="wrn.Bank._.Rec." hidden="1">{"Bank Rec",#N/A,FALSE,"Bank Rec"}</definedName>
    <definedName name="wrn.CAPREIT." hidden="1">{#N/A,#N/A,FALSE,"CAPREIT"}</definedName>
    <definedName name="wrn.CAPREIT2" hidden="1">{#N/A,#N/A,FALSE,"CAPREIT"}</definedName>
    <definedName name="wrn.Cash._.Book." hidden="1">{"Cash Book",#N/A,FALSE,"Cash Book"}</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IVIDEND._.REPORT." hidden="1">{"DIVREP",#N/A,FALSE,"DIV REPORT"}</definedName>
    <definedName name="wrn.Everything." hidden="1">{"Hovedbudgettet",#N/A,TRUE,"BUDGET95";"Elektronik",#N/A,TRUE,"BUDGET95";"Mekanik",#N/A,TRUE,"BUDGET95";"FSS",#N/A,TRUE,"BUDGET95"}</definedName>
    <definedName name="wrn.Everything._1" hidden="1">{"Hovedbudgettet",#N/A,TRUE,"BUDGET95";"Elektronik",#N/A,TRUE,"BUDGET95";"Mekanik",#N/A,TRUE,"BUDGET95";"FSS",#N/A,TRUE,"BUDGET95"}</definedName>
    <definedName name="wrn.Generation._.Sheet." hidden="1">{"Gen Sheet",#N/A,FALSE,"Gen Sheet"}</definedName>
    <definedName name="wrn.Industry.xls." hidden="1">{#N/A,#N/A,FALSE,"Earnings";#N/A,#N/A,FALSE,"Overview";#N/A,#N/A,FALSE,"Summary";#N/A,#N/A,FALSE,"Summary II";#N/A,#N/A,FALSE,"R&amp;D";#N/A,#N/A,FALSE,"R&amp;D Forecast";#N/A,#N/A,FALSE,"Tax Adj";#N/A,#N/A,FALSE,"Goodwill";#N/A,#N/A,FALSE,"FX ";#N/A,#N/A,FALSE,"Consolidation";#N/A,#N/A,FALSE,"Provisions"}</definedName>
    <definedName name="wrn.MANGEMENT._.REPORT._.PAGE." hidden="1">{"MGTREP",#N/A,FALSE,"MGT REPORT"}</definedName>
    <definedName name="wrn.MASTER." hidden="1">{#N/A,#N/A,FALSE,"97master"}</definedName>
    <definedName name="wrn.MOBIL." hidden="1">{"quarter",#N/A,FALSE,"MOB"}</definedName>
    <definedName name="wrn.MONTHLY._.MEMO." hidden="1">{"MEMO",#N/A,FALSE,"MEMO"}</definedName>
    <definedName name="wrn.PLAN._.SECTION." hidden="1">{"PLAN96",#N/A,FALSE,"96PLAN"}</definedName>
    <definedName name="wrn.Print._.All." hidden="1">{#N/A,#N/A,FALSE,"Front";#N/A,#N/A,FALSE,"Summary";#N/A,#N/A,FALSE,"Trading";#N/A,#N/A,FALSE,"ProfitLoss";#N/A,#N/A,FALSE,"CashFlow";#N/A,#N/A,FALSE,"Balance";#N/A,#N/A,FALSE,"Finance";"Exit",#N/A,FALSE,"Exit"}</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ummary." hidden="1">{"Summ1",#N/A,FALSE,"Summary"}</definedName>
    <definedName name="wrn.Pulp." hidden="1">{"Pulp Production",#N/A,FALSE,"Pulp";"Pulp Earnings",#N/A,FALSE,"Pulp"}</definedName>
    <definedName name="wrn.rep." hidden="1">{"test",#N/A,FALSE,"Y";"test2",#N/A,FALSE,"Y"}</definedName>
    <definedName name="wrn.Roll." hidden="1">{#N/A,#N/A,FALSE,"ROLLING SALES WKDY "}</definedName>
    <definedName name="wrn.VARIANCE._.REPORT." hidden="1">{"VARREP",#N/A,FALSE,"VAR REPORT"}</definedName>
    <definedName name="wsafrew4t">#REF!</definedName>
    <definedName name="wsdffeswgt">#REF!</definedName>
    <definedName name="www">#REF!</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Range10006" localSheetId="11">#REF!</definedName>
    <definedName name="xRange10006">#REF!</definedName>
    <definedName name="xRange10007" localSheetId="11">#REF!</definedName>
    <definedName name="xRange10007">#REF!</definedName>
    <definedName name="xRange10008" localSheetId="11">#REF!</definedName>
    <definedName name="xRange10008">#REF!</definedName>
    <definedName name="xRange10009" localSheetId="11">#REF!</definedName>
    <definedName name="xRange10009">#REF!</definedName>
    <definedName name="xRange10010" localSheetId="11">#REF!</definedName>
    <definedName name="xRange10010">#REF!</definedName>
    <definedName name="xRange10011" localSheetId="11">#REF!</definedName>
    <definedName name="xRange10011">#REF!</definedName>
    <definedName name="xRange10012" localSheetId="11">#REF!</definedName>
    <definedName name="xRange10012">#REF!</definedName>
    <definedName name="xRange10014" localSheetId="11">#REF!</definedName>
    <definedName name="xRange10014">#REF!</definedName>
    <definedName name="xRange10015" localSheetId="11">#REF!</definedName>
    <definedName name="xRange10015">#REF!</definedName>
    <definedName name="xRange10016" localSheetId="11">#REF!</definedName>
    <definedName name="xRange10016">#REF!</definedName>
    <definedName name="xRange10024" localSheetId="11">#REF!</definedName>
    <definedName name="xRange10024">#REF!</definedName>
    <definedName name="xRange10193" localSheetId="11">#REF!</definedName>
    <definedName name="xRange10193">#REF!</definedName>
    <definedName name="xRange10194" localSheetId="11">#REF!</definedName>
    <definedName name="xRange10194">#REF!</definedName>
    <definedName name="xRange10195" localSheetId="11">#REF!</definedName>
    <definedName name="xRange10195">#REF!</definedName>
    <definedName name="xRange10196" localSheetId="11">#REF!</definedName>
    <definedName name="xRange10196">#REF!</definedName>
    <definedName name="xRange10202" localSheetId="11">#REF!</definedName>
    <definedName name="xRange10202">#REF!</definedName>
    <definedName name="xRange10203" localSheetId="11">#REF!</definedName>
    <definedName name="xRange10203">#REF!</definedName>
    <definedName name="xRange10204" localSheetId="11">#REF!</definedName>
    <definedName name="xRange10204">#REF!</definedName>
    <definedName name="xRange10205" localSheetId="11">#REF!</definedName>
    <definedName name="xRange10205">#REF!</definedName>
    <definedName name="xRange10206" localSheetId="11">#REF!</definedName>
    <definedName name="xRange10206">#REF!</definedName>
    <definedName name="xRange10207" localSheetId="11">#REF!</definedName>
    <definedName name="xRange10207">#REF!</definedName>
    <definedName name="xRange10208" localSheetId="11">#REF!</definedName>
    <definedName name="xRange10208">#REF!</definedName>
    <definedName name="xRange10211" localSheetId="11">#REF!</definedName>
    <definedName name="xRange10211">#REF!</definedName>
    <definedName name="xRange10212" localSheetId="11">#REF!</definedName>
    <definedName name="xRange10212">#REF!</definedName>
    <definedName name="xRange10213" localSheetId="11">#REF!</definedName>
    <definedName name="xRange10213">#REF!</definedName>
    <definedName name="xRange10214" localSheetId="11">#REF!</definedName>
    <definedName name="xRange10214">#REF!</definedName>
    <definedName name="xRange10215" localSheetId="11">#REF!</definedName>
    <definedName name="xRange10215">#REF!</definedName>
    <definedName name="xRange10216" localSheetId="11">#REF!</definedName>
    <definedName name="xRange10216">#REF!</definedName>
    <definedName name="xRange10217" localSheetId="11">#REF!</definedName>
    <definedName name="xRange10217">#REF!</definedName>
    <definedName name="xRange10218" localSheetId="11">#REF!</definedName>
    <definedName name="xRange10218">#REF!</definedName>
    <definedName name="xRange10219" localSheetId="11">#REF!</definedName>
    <definedName name="xRange10219">#REF!</definedName>
    <definedName name="xRange10220" localSheetId="11">#REF!</definedName>
    <definedName name="xRange10220">#REF!</definedName>
    <definedName name="xRange10221" localSheetId="11">#REF!</definedName>
    <definedName name="xRange10221">#REF!</definedName>
    <definedName name="xRange10222" localSheetId="11">#REF!</definedName>
    <definedName name="xRange10222">#REF!</definedName>
    <definedName name="xRange10223" localSheetId="11">#REF!</definedName>
    <definedName name="xRange10223">#REF!</definedName>
    <definedName name="xRange10224" localSheetId="11">#REF!</definedName>
    <definedName name="xRange10224">#REF!</definedName>
    <definedName name="xRange10225" localSheetId="11">#REF!</definedName>
    <definedName name="xRange10225">#REF!</definedName>
    <definedName name="xRange10226" localSheetId="11">#REF!</definedName>
    <definedName name="xRange10226">#REF!</definedName>
    <definedName name="xRange10227" localSheetId="11">#REF!</definedName>
    <definedName name="xRange10227">#REF!</definedName>
    <definedName name="xRange10229" localSheetId="11">#REF!</definedName>
    <definedName name="xRange10229">#REF!</definedName>
    <definedName name="xRange10230" localSheetId="11">#REF!</definedName>
    <definedName name="xRange10230">#REF!</definedName>
    <definedName name="xRange10231" localSheetId="11">#REF!</definedName>
    <definedName name="xRange10231">#REF!</definedName>
    <definedName name="xRange10232" localSheetId="11">#REF!</definedName>
    <definedName name="xRange10232">#REF!</definedName>
    <definedName name="xRange10233" localSheetId="11">#REF!</definedName>
    <definedName name="xRange10233">#REF!</definedName>
    <definedName name="xRange10234" localSheetId="11">#REF!</definedName>
    <definedName name="xRange10234">#REF!</definedName>
    <definedName name="xRange10235" localSheetId="11">#REF!</definedName>
    <definedName name="xRange10235">#REF!</definedName>
    <definedName name="xRange10236" localSheetId="11">#REF!</definedName>
    <definedName name="xRange10236">#REF!</definedName>
    <definedName name="xRange10237" localSheetId="11">#REF!</definedName>
    <definedName name="xRange10237">#REF!</definedName>
    <definedName name="xRange10238" localSheetId="11">#REF!</definedName>
    <definedName name="xRange10238">#REF!</definedName>
    <definedName name="xRange10239" localSheetId="11">#REF!</definedName>
    <definedName name="xRange10239">#REF!</definedName>
    <definedName name="xRange10248" localSheetId="11">#REF!</definedName>
    <definedName name="xRange10248">#REF!</definedName>
    <definedName name="xRange10249" localSheetId="11">#REF!</definedName>
    <definedName name="xRange10249">#REF!</definedName>
    <definedName name="xRange10250" localSheetId="11">#REF!</definedName>
    <definedName name="xRange10250">#REF!</definedName>
    <definedName name="xRange10251" localSheetId="11">#REF!</definedName>
    <definedName name="xRange10251">#REF!</definedName>
    <definedName name="xRange10252" localSheetId="11">#REF!</definedName>
    <definedName name="xRange10252">#REF!</definedName>
    <definedName name="xRange10253" localSheetId="11">#REF!</definedName>
    <definedName name="xRange10253">#REF!</definedName>
    <definedName name="xRange10254" localSheetId="11">#REF!</definedName>
    <definedName name="xRange10254">#REF!</definedName>
    <definedName name="xRange10255" localSheetId="11">#REF!</definedName>
    <definedName name="xRange10255">#REF!</definedName>
    <definedName name="xRange10257" localSheetId="11">#REF!</definedName>
    <definedName name="xRange10257">#REF!</definedName>
    <definedName name="xRange10258" localSheetId="11">#REF!</definedName>
    <definedName name="xRange10258">#REF!</definedName>
    <definedName name="xRange10259" localSheetId="11">#REF!</definedName>
    <definedName name="xRange10259">#REF!</definedName>
    <definedName name="xRange10260" localSheetId="11">#REF!</definedName>
    <definedName name="xRange10260">#REF!</definedName>
    <definedName name="xRange10263" localSheetId="11">#REF!</definedName>
    <definedName name="xRange10263">#REF!</definedName>
    <definedName name="xRange10264" localSheetId="11">#REF!</definedName>
    <definedName name="xRange10264">#REF!</definedName>
    <definedName name="xRange10265" localSheetId="11">#REF!</definedName>
    <definedName name="xRange10265">#REF!</definedName>
    <definedName name="xRange10266" localSheetId="11">#REF!</definedName>
    <definedName name="xRange10266">#REF!</definedName>
    <definedName name="xRange10268" localSheetId="11">#REF!</definedName>
    <definedName name="xRange10268">#REF!</definedName>
    <definedName name="xRange10269" localSheetId="11">#REF!</definedName>
    <definedName name="xRange10269">#REF!</definedName>
    <definedName name="xRange10270" localSheetId="11">#REF!</definedName>
    <definedName name="xRange10270">#REF!</definedName>
    <definedName name="xRange10271" localSheetId="11">#REF!</definedName>
    <definedName name="xRange10271">#REF!</definedName>
    <definedName name="xRange10272" localSheetId="11">#REF!</definedName>
    <definedName name="xRange10272">#REF!</definedName>
    <definedName name="xRange10273" localSheetId="11">#REF!</definedName>
    <definedName name="xRange10273">#REF!</definedName>
    <definedName name="xRange10274" localSheetId="11">#REF!</definedName>
    <definedName name="xRange10274">#REF!</definedName>
    <definedName name="xRange10276" localSheetId="11">#REF!</definedName>
    <definedName name="xRange10276">#REF!</definedName>
    <definedName name="xRange10277" localSheetId="11">#REF!</definedName>
    <definedName name="xRange10277">#REF!</definedName>
    <definedName name="xRange10278" localSheetId="11">#REF!</definedName>
    <definedName name="xRange10278">#REF!</definedName>
    <definedName name="xRange10279" localSheetId="11">#REF!</definedName>
    <definedName name="xRange10279">#REF!</definedName>
    <definedName name="xRange10280" localSheetId="11">#REF!</definedName>
    <definedName name="xRange10280">#REF!</definedName>
    <definedName name="xRange10281" localSheetId="11">#REF!</definedName>
    <definedName name="xRange10281">#REF!</definedName>
    <definedName name="xxxxx" hidden="1">#REF!</definedName>
    <definedName name="xxxxxxxxxx">#REF!</definedName>
    <definedName name="y">#REF!</definedName>
    <definedName name="YEAR">#REF!</definedName>
    <definedName name="Year1" localSheetId="11">#REF!</definedName>
    <definedName name="Year1">#REF!</definedName>
    <definedName name="Year10">#REF!</definedName>
    <definedName name="Year11">#REF!</definedName>
    <definedName name="Year2" localSheetId="11">#REF!</definedName>
    <definedName name="Year2">#REF!</definedName>
    <definedName name="Year3" localSheetId="11">#REF!</definedName>
    <definedName name="Year3">#REF!</definedName>
    <definedName name="Year4" localSheetId="11">#REF!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1">#REF!</definedName>
    <definedName name="YTD_MAN_BUD">#REF!</definedName>
    <definedName name="YTD1">#REF!</definedName>
    <definedName name="YTD2">#REF!</definedName>
    <definedName name="YTG1">#REF!</definedName>
    <definedName name="YTG2">#REF!</definedName>
    <definedName name="yxs">#REF!</definedName>
    <definedName name="yy">#REF!</definedName>
    <definedName name="yyaa">#REF!</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z" hidden="1">#REF!</definedName>
    <definedName name="zzzzzzzzzz">#REF!</definedName>
    <definedName name="zzzzzzzzzzzzzz">#REF!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7" i="31" l="1"/>
  <c r="I107" i="31"/>
  <c r="Y95" i="32"/>
  <c r="Y94" i="32"/>
  <c r="Y93" i="32"/>
  <c r="Y88" i="32"/>
  <c r="Y86" i="32"/>
  <c r="Y61" i="32"/>
  <c r="Y115" i="32"/>
  <c r="Y133" i="32" s="1"/>
  <c r="X115" i="32"/>
  <c r="X133" i="32" s="1"/>
  <c r="W115" i="32"/>
  <c r="W133" i="32" s="1"/>
  <c r="V115" i="32"/>
  <c r="V133" i="32" s="1"/>
  <c r="U115" i="32"/>
  <c r="U121" i="32" s="1"/>
  <c r="T115" i="32"/>
  <c r="T133" i="32" s="1"/>
  <c r="S115" i="32"/>
  <c r="S133" i="32" s="1"/>
  <c r="R115" i="32"/>
  <c r="R133" i="32" s="1"/>
  <c r="Q115" i="32"/>
  <c r="Q133" i="32" s="1"/>
  <c r="P115" i="32"/>
  <c r="P133" i="32" s="1"/>
  <c r="O115" i="32"/>
  <c r="O133" i="32" s="1"/>
  <c r="N115" i="32"/>
  <c r="N121" i="32" s="1"/>
  <c r="M115" i="32"/>
  <c r="M121" i="32" s="1"/>
  <c r="L115" i="32"/>
  <c r="L121" i="32" s="1"/>
  <c r="Y114" i="32"/>
  <c r="Y120" i="32" s="1"/>
  <c r="X114" i="32"/>
  <c r="X120" i="32" s="1"/>
  <c r="W114" i="32"/>
  <c r="W120" i="32" s="1"/>
  <c r="V114" i="32"/>
  <c r="V120" i="32" s="1"/>
  <c r="U114" i="32"/>
  <c r="U120" i="32" s="1"/>
  <c r="T114" i="32"/>
  <c r="T120" i="32" s="1"/>
  <c r="S114" i="32"/>
  <c r="S120" i="32" s="1"/>
  <c r="R114" i="32"/>
  <c r="R132" i="32" s="1"/>
  <c r="Q114" i="32"/>
  <c r="Q120" i="32" s="1"/>
  <c r="P114" i="32"/>
  <c r="P132" i="32" s="1"/>
  <c r="O114" i="32"/>
  <c r="O120" i="32" s="1"/>
  <c r="N114" i="32"/>
  <c r="N132" i="32" s="1"/>
  <c r="M114" i="32"/>
  <c r="M120" i="32" s="1"/>
  <c r="L114" i="32"/>
  <c r="L120" i="32" s="1"/>
  <c r="Y109" i="32"/>
  <c r="X95" i="32"/>
  <c r="X109" i="32" s="1"/>
  <c r="W95" i="32"/>
  <c r="W109" i="32" s="1"/>
  <c r="V95" i="32"/>
  <c r="V109" i="32" s="1"/>
  <c r="U95" i="32"/>
  <c r="U109" i="32" s="1"/>
  <c r="T95" i="32"/>
  <c r="T109" i="32" s="1"/>
  <c r="S95" i="32"/>
  <c r="S109" i="32" s="1"/>
  <c r="R95" i="32"/>
  <c r="R109" i="32" s="1"/>
  <c r="Q95" i="32"/>
  <c r="Q109" i="32" s="1"/>
  <c r="P95" i="32"/>
  <c r="P109" i="32" s="1"/>
  <c r="O95" i="32"/>
  <c r="O109" i="32" s="1"/>
  <c r="N95" i="32"/>
  <c r="N109" i="32" s="1"/>
  <c r="M95" i="32"/>
  <c r="M109" i="32" s="1"/>
  <c r="L95" i="32"/>
  <c r="L109" i="32" s="1"/>
  <c r="M133" i="32" l="1"/>
  <c r="S121" i="32"/>
  <c r="O121" i="32"/>
  <c r="P121" i="32"/>
  <c r="Q121" i="32"/>
  <c r="L133" i="32"/>
  <c r="N133" i="32"/>
  <c r="R121" i="32"/>
  <c r="T121" i="32"/>
  <c r="U133" i="32"/>
  <c r="Y132" i="32"/>
  <c r="V121" i="32"/>
  <c r="W132" i="32"/>
  <c r="W121" i="32"/>
  <c r="X121" i="32"/>
  <c r="Y121" i="32"/>
  <c r="L132" i="32"/>
  <c r="M132" i="32"/>
  <c r="N120" i="32"/>
  <c r="O132" i="32"/>
  <c r="P120" i="32"/>
  <c r="Q132" i="32"/>
  <c r="R120" i="32"/>
  <c r="S132" i="32"/>
  <c r="T132" i="32"/>
  <c r="U132" i="32"/>
  <c r="V132" i="32"/>
  <c r="X132" i="32"/>
  <c r="T113" i="32"/>
  <c r="O119" i="32"/>
  <c r="L119" i="32"/>
  <c r="M119" i="32"/>
  <c r="N119" i="32"/>
  <c r="Q113" i="32"/>
  <c r="Q119" i="32"/>
  <c r="R113" i="32"/>
  <c r="R119" i="32"/>
  <c r="S113" i="32"/>
  <c r="W119" i="32"/>
  <c r="X113" i="32"/>
  <c r="X119" i="32"/>
  <c r="L113" i="32"/>
  <c r="M113" i="32"/>
  <c r="N113" i="32"/>
  <c r="O113" i="32"/>
  <c r="P113" i="32"/>
  <c r="P119" i="32"/>
  <c r="S119" i="32"/>
  <c r="T119" i="32"/>
  <c r="U113" i="32"/>
  <c r="U119" i="32"/>
  <c r="V113" i="32"/>
  <c r="V119" i="32"/>
  <c r="W113" i="32"/>
  <c r="Y113" i="32"/>
  <c r="Y119" i="32"/>
  <c r="T83" i="17" l="1"/>
  <c r="S83" i="17"/>
  <c r="R83" i="17"/>
  <c r="Q83" i="17"/>
  <c r="P83" i="17"/>
  <c r="O83" i="17"/>
  <c r="N83" i="17"/>
  <c r="M83" i="17"/>
  <c r="L83" i="17"/>
  <c r="K83" i="17"/>
  <c r="J83" i="17"/>
  <c r="I83" i="17"/>
  <c r="H83" i="17"/>
  <c r="G83" i="17"/>
  <c r="F83" i="17"/>
  <c r="E83" i="17"/>
  <c r="D83" i="17"/>
  <c r="U83" i="17"/>
  <c r="M83" i="25"/>
  <c r="L83" i="25"/>
  <c r="K83" i="25"/>
  <c r="J83" i="25"/>
  <c r="I83" i="25"/>
  <c r="R95" i="31"/>
  <c r="Q95" i="31"/>
  <c r="P95" i="31"/>
  <c r="O95" i="31"/>
  <c r="N95" i="31"/>
  <c r="M95" i="31"/>
  <c r="L95" i="31"/>
  <c r="K95" i="31"/>
  <c r="J95" i="31"/>
  <c r="I95" i="31"/>
  <c r="R115" i="31"/>
  <c r="R121" i="31" s="1"/>
  <c r="Q115" i="31"/>
  <c r="Q121" i="31" s="1"/>
  <c r="P115" i="31"/>
  <c r="P121" i="31" s="1"/>
  <c r="O115" i="31"/>
  <c r="O133" i="31" s="1"/>
  <c r="N115" i="31"/>
  <c r="N121" i="31" s="1"/>
  <c r="M115" i="31"/>
  <c r="M121" i="31" s="1"/>
  <c r="L115" i="31"/>
  <c r="L121" i="31" s="1"/>
  <c r="K115" i="31"/>
  <c r="K121" i="31" s="1"/>
  <c r="J115" i="31"/>
  <c r="J121" i="31" s="1"/>
  <c r="I115" i="31"/>
  <c r="I121" i="31" s="1"/>
  <c r="R114" i="31"/>
  <c r="R120" i="31" s="1"/>
  <c r="Q114" i="31"/>
  <c r="Q120" i="31" s="1"/>
  <c r="P114" i="31"/>
  <c r="P120" i="31" s="1"/>
  <c r="O114" i="31"/>
  <c r="O120" i="31" s="1"/>
  <c r="N114" i="31"/>
  <c r="N120" i="31" s="1"/>
  <c r="M114" i="31"/>
  <c r="M120" i="31" s="1"/>
  <c r="L114" i="31"/>
  <c r="L132" i="31" s="1"/>
  <c r="K114" i="31"/>
  <c r="K120" i="31" s="1"/>
  <c r="J114" i="31"/>
  <c r="J120" i="31" s="1"/>
  <c r="I114" i="31"/>
  <c r="I120" i="31" s="1"/>
  <c r="H38" i="52"/>
  <c r="O39" i="53"/>
  <c r="P39" i="53"/>
  <c r="Q39" i="53"/>
  <c r="R109" i="31" l="1"/>
  <c r="R119" i="31"/>
  <c r="I109" i="31"/>
  <c r="I119" i="31"/>
  <c r="J109" i="31"/>
  <c r="J119" i="31"/>
  <c r="K109" i="31"/>
  <c r="K119" i="31"/>
  <c r="L113" i="31"/>
  <c r="L119" i="31"/>
  <c r="M113" i="31"/>
  <c r="M119" i="31"/>
  <c r="N113" i="31"/>
  <c r="N119" i="31"/>
  <c r="O109" i="31"/>
  <c r="O119" i="31"/>
  <c r="P109" i="31"/>
  <c r="P119" i="31"/>
  <c r="Q109" i="31"/>
  <c r="Q119" i="31"/>
  <c r="N133" i="31"/>
  <c r="Q133" i="31"/>
  <c r="P133" i="31"/>
  <c r="R133" i="31"/>
  <c r="J133" i="31"/>
  <c r="K133" i="31"/>
  <c r="L133" i="31"/>
  <c r="I133" i="31"/>
  <c r="M133" i="31"/>
  <c r="I132" i="31"/>
  <c r="K132" i="31"/>
  <c r="O121" i="31"/>
  <c r="J132" i="31"/>
  <c r="M132" i="31"/>
  <c r="L120" i="31"/>
  <c r="O132" i="31"/>
  <c r="P132" i="31"/>
  <c r="N132" i="31"/>
  <c r="Q132" i="31"/>
  <c r="R132" i="31"/>
  <c r="I113" i="31"/>
  <c r="J113" i="31"/>
  <c r="O113" i="31"/>
  <c r="Q113" i="31"/>
  <c r="R113" i="31"/>
  <c r="P113" i="31"/>
  <c r="M109" i="31"/>
  <c r="K113" i="31"/>
  <c r="L109" i="31"/>
  <c r="N109" i="31"/>
  <c r="Y65" i="32"/>
  <c r="Y67" i="32" s="1"/>
  <c r="M65" i="32"/>
  <c r="M67" i="32" s="1"/>
  <c r="N65" i="32"/>
  <c r="N67" i="32" s="1"/>
  <c r="O65" i="32"/>
  <c r="O67" i="32" s="1"/>
  <c r="P65" i="32"/>
  <c r="P67" i="32" s="1"/>
  <c r="Q65" i="32"/>
  <c r="Q67" i="32" s="1"/>
  <c r="R65" i="32"/>
  <c r="R67" i="32" s="1"/>
  <c r="S65" i="32"/>
  <c r="S67" i="32" s="1"/>
  <c r="T65" i="32"/>
  <c r="T67" i="32" s="1"/>
  <c r="U65" i="32"/>
  <c r="U67" i="32" s="1"/>
  <c r="V65" i="32"/>
  <c r="V67" i="32" s="1"/>
  <c r="W65" i="32"/>
  <c r="W67" i="32" s="1"/>
  <c r="X65" i="32"/>
  <c r="X67" i="32" s="1"/>
  <c r="L65" i="32"/>
  <c r="L67" i="32" s="1"/>
  <c r="T118" i="32" l="1"/>
  <c r="U118" i="32"/>
  <c r="V118" i="32"/>
  <c r="W118" i="32"/>
  <c r="X118" i="32"/>
  <c r="M118" i="32"/>
  <c r="N118" i="32"/>
  <c r="O118" i="32"/>
  <c r="P118" i="32"/>
  <c r="Q118" i="32"/>
  <c r="R118" i="32"/>
  <c r="S118" i="32"/>
  <c r="Y118" i="32"/>
  <c r="L118" i="32"/>
  <c r="Y91" i="32" l="1"/>
  <c r="Y90" i="32"/>
  <c r="Y92" i="32"/>
  <c r="Y129" i="32" l="1"/>
  <c r="Y130" i="32"/>
  <c r="Y97" i="32"/>
  <c r="U57" i="17" l="1"/>
  <c r="U40" i="17"/>
  <c r="U28" i="17"/>
  <c r="U18" i="17"/>
  <c r="U29" i="17" s="1"/>
  <c r="U66" i="17"/>
  <c r="U73" i="17"/>
  <c r="Y11" i="32"/>
  <c r="Y13" i="32"/>
  <c r="Y14" i="32"/>
  <c r="Y16" i="32"/>
  <c r="Y17" i="32"/>
  <c r="Y21" i="32"/>
  <c r="Y23" i="32"/>
  <c r="Y30" i="32"/>
  <c r="Y32" i="32"/>
  <c r="Y34" i="32"/>
  <c r="Y38" i="32"/>
  <c r="Y48" i="32"/>
  <c r="Y39" i="32" s="1"/>
  <c r="Y40" i="32" s="1"/>
  <c r="Y55" i="32"/>
  <c r="Y59" i="32"/>
  <c r="Y63" i="32"/>
  <c r="Y72" i="32"/>
  <c r="Y77" i="32"/>
  <c r="Y81" i="32"/>
  <c r="Y82" i="32"/>
  <c r="Y83" i="32"/>
  <c r="Y100" i="32"/>
  <c r="Y101" i="32"/>
  <c r="Y102" i="32"/>
  <c r="Y105" i="32"/>
  <c r="Y106" i="32"/>
  <c r="Y107" i="32"/>
  <c r="Y112" i="32"/>
  <c r="Y116" i="32"/>
  <c r="Y131" i="32"/>
  <c r="Y136" i="32"/>
  <c r="Y137" i="32"/>
  <c r="Y138" i="32"/>
  <c r="Y139" i="32"/>
  <c r="K10" i="44"/>
  <c r="L10" i="44"/>
  <c r="M10" i="44"/>
  <c r="N61" i="31"/>
  <c r="O61" i="31"/>
  <c r="P61" i="31"/>
  <c r="Q61" i="31"/>
  <c r="R61" i="31"/>
  <c r="F44" i="52"/>
  <c r="F46" i="52" s="1"/>
  <c r="F27" i="52"/>
  <c r="Y42" i="32" l="1"/>
  <c r="Y41" i="32"/>
  <c r="Y123" i="32"/>
  <c r="Y103" i="32"/>
  <c r="Y66" i="32"/>
  <c r="Y68" i="32"/>
  <c r="Y80" i="32"/>
  <c r="Y78" i="32" s="1"/>
  <c r="Y64" i="32"/>
  <c r="Y62" i="32"/>
  <c r="Y108" i="32"/>
  <c r="U58" i="17"/>
  <c r="Y134" i="32"/>
  <c r="Y140" i="32"/>
  <c r="Y25" i="32"/>
  <c r="Y110" i="32" l="1"/>
  <c r="Y87" i="32"/>
  <c r="Y79" i="32"/>
  <c r="E32" i="53"/>
  <c r="F32" i="53"/>
  <c r="G32" i="53"/>
  <c r="H32" i="53"/>
  <c r="I32" i="53"/>
  <c r="J32" i="53"/>
  <c r="K32" i="53"/>
  <c r="L32" i="53"/>
  <c r="M32" i="53"/>
  <c r="N32" i="53"/>
  <c r="O32" i="53"/>
  <c r="P32" i="53"/>
  <c r="D32" i="53"/>
  <c r="Y89" i="32" l="1"/>
  <c r="Y96" i="32" s="1"/>
  <c r="N39" i="53"/>
  <c r="M39" i="53"/>
  <c r="L39" i="53"/>
  <c r="K39" i="53"/>
  <c r="E39" i="53"/>
  <c r="F39" i="53"/>
  <c r="G39" i="53"/>
  <c r="H39" i="53"/>
  <c r="I39" i="53"/>
  <c r="J39" i="53"/>
  <c r="D39" i="53"/>
  <c r="X130" i="32" l="1"/>
  <c r="W130" i="32"/>
  <c r="V130" i="32"/>
  <c r="U130" i="32"/>
  <c r="T130" i="32"/>
  <c r="S130" i="32"/>
  <c r="R130" i="32"/>
  <c r="Q130" i="32"/>
  <c r="P130" i="32"/>
  <c r="O130" i="32"/>
  <c r="N130" i="32"/>
  <c r="M130" i="32"/>
  <c r="L130" i="32"/>
  <c r="M129" i="32"/>
  <c r="N129" i="32"/>
  <c r="O129" i="32"/>
  <c r="P129" i="32"/>
  <c r="Q129" i="32"/>
  <c r="R129" i="32"/>
  <c r="S129" i="32"/>
  <c r="T129" i="32"/>
  <c r="U129" i="32"/>
  <c r="V129" i="32"/>
  <c r="W129" i="32"/>
  <c r="X129" i="32"/>
  <c r="L129" i="32"/>
  <c r="M61" i="32"/>
  <c r="N61" i="32"/>
  <c r="O61" i="32"/>
  <c r="P61" i="32"/>
  <c r="Q61" i="32"/>
  <c r="R61" i="32"/>
  <c r="S61" i="32"/>
  <c r="T61" i="32"/>
  <c r="U61" i="32"/>
  <c r="V61" i="32"/>
  <c r="W61" i="32"/>
  <c r="L61" i="32"/>
  <c r="M116" i="32"/>
  <c r="N116" i="32"/>
  <c r="O116" i="32"/>
  <c r="P116" i="32"/>
  <c r="Q116" i="32"/>
  <c r="R116" i="32"/>
  <c r="S116" i="32"/>
  <c r="T116" i="32"/>
  <c r="U116" i="32"/>
  <c r="V116" i="32"/>
  <c r="W116" i="32"/>
  <c r="X116" i="32"/>
  <c r="L116" i="32"/>
  <c r="X123" i="32" l="1"/>
  <c r="R123" i="32"/>
  <c r="Q123" i="32"/>
  <c r="N123" i="32"/>
  <c r="M123" i="32"/>
  <c r="S123" i="32"/>
  <c r="P123" i="32"/>
  <c r="O123" i="32"/>
  <c r="L123" i="32"/>
  <c r="W123" i="32"/>
  <c r="V123" i="32"/>
  <c r="T123" i="32"/>
  <c r="U123" i="32"/>
  <c r="R130" i="31"/>
  <c r="Q130" i="31"/>
  <c r="P130" i="31"/>
  <c r="O130" i="31"/>
  <c r="N130" i="31"/>
  <c r="M130" i="31"/>
  <c r="L130" i="31"/>
  <c r="K130" i="31"/>
  <c r="J130" i="31"/>
  <c r="I130" i="31"/>
  <c r="R110" i="31"/>
  <c r="Q110" i="31"/>
  <c r="P110" i="31"/>
  <c r="O110" i="31"/>
  <c r="N110" i="31"/>
  <c r="M110" i="31"/>
  <c r="L110" i="31"/>
  <c r="K110" i="31"/>
  <c r="I110" i="31"/>
  <c r="P26" i="53" l="1"/>
  <c r="O26" i="53"/>
  <c r="N26" i="53"/>
  <c r="M26" i="53"/>
  <c r="L26" i="53"/>
  <c r="K26" i="53"/>
  <c r="J26" i="53"/>
  <c r="I26" i="53"/>
  <c r="H26" i="53"/>
  <c r="G26" i="53"/>
  <c r="F26" i="53"/>
  <c r="E26" i="53"/>
  <c r="D26" i="53"/>
  <c r="X61" i="32" l="1"/>
  <c r="D29" i="52"/>
  <c r="D30" i="52" s="1"/>
  <c r="E29" i="52"/>
  <c r="E30" i="52" s="1"/>
  <c r="G29" i="52"/>
  <c r="G30" i="52" s="1"/>
  <c r="J29" i="52"/>
  <c r="J30" i="52" s="1"/>
  <c r="K29" i="52"/>
  <c r="K30" i="52" s="1"/>
  <c r="L29" i="52"/>
  <c r="L30" i="52" s="1"/>
  <c r="M29" i="52"/>
  <c r="M30" i="52" s="1"/>
  <c r="H29" i="52"/>
  <c r="H30" i="52" s="1"/>
  <c r="I29" i="52"/>
  <c r="I30" i="52" s="1"/>
  <c r="I33" i="52" l="1"/>
  <c r="H33" i="52"/>
  <c r="J33" i="52"/>
  <c r="O65" i="31" s="1"/>
  <c r="O67" i="31" s="1"/>
  <c r="M33" i="52"/>
  <c r="R65" i="31" s="1"/>
  <c r="R67" i="31" s="1"/>
  <c r="L33" i="52"/>
  <c r="Q65" i="31" s="1"/>
  <c r="Q67" i="31" s="1"/>
  <c r="K33" i="52"/>
  <c r="P65" i="31" s="1"/>
  <c r="P67" i="31" s="1"/>
  <c r="G33" i="52"/>
  <c r="G38" i="52" s="1"/>
  <c r="E33" i="52"/>
  <c r="E38" i="52" s="1"/>
  <c r="D33" i="52"/>
  <c r="D38" i="52" s="1"/>
  <c r="P118" i="31" l="1"/>
  <c r="P123" i="31" s="1"/>
  <c r="R118" i="31"/>
  <c r="R123" i="31" s="1"/>
  <c r="Q118" i="31"/>
  <c r="Q123" i="31" s="1"/>
  <c r="O118" i="31"/>
  <c r="O123" i="31" s="1"/>
  <c r="O63" i="31"/>
  <c r="K8" i="44"/>
  <c r="P63" i="31"/>
  <c r="K9" i="44" s="1"/>
  <c r="M8" i="44"/>
  <c r="R63" i="31"/>
  <c r="M9" i="44" s="1"/>
  <c r="L8" i="44"/>
  <c r="Q63" i="31"/>
  <c r="L9" i="44" s="1"/>
  <c r="I38" i="52"/>
  <c r="N65" i="31"/>
  <c r="N67" i="31" s="1"/>
  <c r="K38" i="52"/>
  <c r="L38" i="52"/>
  <c r="M38" i="52"/>
  <c r="J38" i="52"/>
  <c r="I34" i="52"/>
  <c r="K65" i="31"/>
  <c r="K67" i="31" s="1"/>
  <c r="M34" i="52"/>
  <c r="J34" i="52"/>
  <c r="E34" i="52"/>
  <c r="J65" i="31"/>
  <c r="J67" i="31" s="1"/>
  <c r="G34" i="52"/>
  <c r="L65" i="31"/>
  <c r="L67" i="31" s="1"/>
  <c r="D34" i="52"/>
  <c r="I65" i="31"/>
  <c r="I67" i="31" s="1"/>
  <c r="K34" i="52"/>
  <c r="H34" i="52"/>
  <c r="M65" i="31"/>
  <c r="M67" i="31" s="1"/>
  <c r="L34" i="52"/>
  <c r="K118" i="31" l="1"/>
  <c r="K123" i="31" s="1"/>
  <c r="N118" i="31"/>
  <c r="N123" i="31" s="1"/>
  <c r="J118" i="31"/>
  <c r="J123" i="31" s="1"/>
  <c r="M118" i="31"/>
  <c r="M123" i="31" s="1"/>
  <c r="I118" i="31"/>
  <c r="I123" i="31" s="1"/>
  <c r="L118" i="31"/>
  <c r="L123" i="31" s="1"/>
  <c r="E10" i="52"/>
  <c r="J110" i="31" s="1"/>
  <c r="E54" i="29"/>
  <c r="F54" i="29"/>
  <c r="G54" i="29"/>
  <c r="H54" i="29"/>
  <c r="I54" i="29"/>
  <c r="J54" i="29"/>
  <c r="K54" i="29"/>
  <c r="L54" i="29"/>
  <c r="M54" i="29"/>
  <c r="N54" i="29"/>
  <c r="O54" i="29"/>
  <c r="O56" i="29" s="1"/>
  <c r="D54" i="29"/>
  <c r="E53" i="29"/>
  <c r="F53" i="29"/>
  <c r="G53" i="29"/>
  <c r="H53" i="29"/>
  <c r="I53" i="29"/>
  <c r="J53" i="29"/>
  <c r="K53" i="29"/>
  <c r="L53" i="29"/>
  <c r="M53" i="29"/>
  <c r="N53" i="29"/>
  <c r="O53" i="29"/>
  <c r="D53" i="29"/>
  <c r="M56" i="29" l="1"/>
  <c r="G56" i="29"/>
  <c r="N56" i="29"/>
  <c r="K56" i="29"/>
  <c r="J56" i="29"/>
  <c r="I56" i="29"/>
  <c r="F56" i="29"/>
  <c r="D56" i="29"/>
  <c r="E56" i="29"/>
  <c r="L56" i="29"/>
  <c r="H56" i="29"/>
  <c r="K32" i="32" l="1"/>
  <c r="J32" i="32"/>
  <c r="I32" i="32"/>
  <c r="H32" i="32"/>
  <c r="K50" i="24" l="1"/>
  <c r="M57" i="25"/>
  <c r="L57" i="25"/>
  <c r="K57" i="25"/>
  <c r="J57" i="25"/>
  <c r="I57" i="25"/>
  <c r="H57" i="25"/>
  <c r="G57" i="25"/>
  <c r="F57" i="25"/>
  <c r="E57" i="25"/>
  <c r="X63" i="32" l="1"/>
  <c r="W63" i="32"/>
  <c r="V63" i="32"/>
  <c r="U63" i="32"/>
  <c r="T63" i="32"/>
  <c r="S63" i="32"/>
  <c r="R63" i="32"/>
  <c r="Q63" i="32"/>
  <c r="P63" i="32"/>
  <c r="O63" i="32"/>
  <c r="N63" i="32"/>
  <c r="J9" i="44"/>
  <c r="J87" i="25" l="1"/>
  <c r="J88" i="25"/>
  <c r="J86" i="25"/>
  <c r="L88" i="25" l="1"/>
  <c r="M88" i="25"/>
  <c r="L87" i="25"/>
  <c r="K88" i="25"/>
  <c r="K87" i="25"/>
  <c r="M87" i="25"/>
  <c r="K86" i="25"/>
  <c r="L86" i="25"/>
  <c r="M86" i="25"/>
  <c r="K66" i="25" l="1"/>
  <c r="L66" i="25"/>
  <c r="M66" i="25"/>
  <c r="K73" i="25"/>
  <c r="L73" i="25"/>
  <c r="M73" i="25"/>
  <c r="M8" i="41" l="1"/>
  <c r="L8" i="41"/>
  <c r="K8" i="41"/>
  <c r="J8" i="41"/>
  <c r="J8" i="44" l="1"/>
  <c r="Q129" i="31" l="1"/>
  <c r="R129" i="31"/>
  <c r="X97" i="32" l="1"/>
  <c r="X93" i="32"/>
  <c r="X94" i="32"/>
  <c r="X90" i="32"/>
  <c r="X91" i="32"/>
  <c r="X88" i="32"/>
  <c r="X86" i="32"/>
  <c r="X72" i="32"/>
  <c r="T73" i="17"/>
  <c r="T66" i="17"/>
  <c r="X11" i="32" l="1"/>
  <c r="X13" i="32"/>
  <c r="X14" i="32"/>
  <c r="X16" i="32"/>
  <c r="X17" i="32"/>
  <c r="X21" i="32"/>
  <c r="X25" i="32" s="1"/>
  <c r="X23" i="32"/>
  <c r="X30" i="32"/>
  <c r="X32" i="32"/>
  <c r="X34" i="32"/>
  <c r="X38" i="32"/>
  <c r="X48" i="32"/>
  <c r="X39" i="32" s="1"/>
  <c r="X55" i="32"/>
  <c r="X59" i="32"/>
  <c r="X77" i="32"/>
  <c r="X81" i="32"/>
  <c r="X82" i="32"/>
  <c r="X83" i="32"/>
  <c r="X100" i="32"/>
  <c r="X101" i="32"/>
  <c r="X102" i="32"/>
  <c r="X105" i="32"/>
  <c r="X106" i="32"/>
  <c r="X107" i="32"/>
  <c r="X112" i="32"/>
  <c r="X131" i="32"/>
  <c r="X136" i="32"/>
  <c r="X137" i="32"/>
  <c r="X138" i="32"/>
  <c r="X139" i="32"/>
  <c r="X41" i="32" l="1"/>
  <c r="X66" i="32"/>
  <c r="X68" i="32"/>
  <c r="X80" i="32"/>
  <c r="X78" i="32" s="1"/>
  <c r="X103" i="32"/>
  <c r="X62" i="32"/>
  <c r="X108" i="32"/>
  <c r="X110" i="32" s="1"/>
  <c r="X140" i="32"/>
  <c r="X40" i="32"/>
  <c r="X87" i="32" l="1"/>
  <c r="X79" i="32"/>
  <c r="X92" i="32"/>
  <c r="X42" i="32"/>
  <c r="X64" i="32"/>
  <c r="X134" i="32"/>
  <c r="X89" i="32" l="1"/>
  <c r="X96" i="32" s="1"/>
  <c r="L15" i="44" l="1"/>
  <c r="M15" i="44"/>
  <c r="K15" i="44" l="1"/>
  <c r="D73" i="17"/>
  <c r="E73" i="17"/>
  <c r="F73" i="17"/>
  <c r="G73" i="17"/>
  <c r="H73" i="17"/>
  <c r="I73" i="17"/>
  <c r="J73" i="17"/>
  <c r="K73" i="17"/>
  <c r="L73" i="17"/>
  <c r="M73" i="17"/>
  <c r="N73" i="17"/>
  <c r="O73" i="17"/>
  <c r="P73" i="17"/>
  <c r="Q73" i="17"/>
  <c r="R73" i="17"/>
  <c r="S73" i="17"/>
  <c r="J15" i="44" l="1"/>
  <c r="I15" i="44"/>
  <c r="H15" i="44"/>
  <c r="G15" i="44"/>
  <c r="F15" i="44"/>
  <c r="E15" i="44"/>
  <c r="D15" i="44"/>
  <c r="J10" i="44"/>
  <c r="I10" i="44"/>
  <c r="H10" i="44"/>
  <c r="G10" i="44"/>
  <c r="F10" i="44"/>
  <c r="E10" i="44"/>
  <c r="D10" i="44"/>
  <c r="D66" i="17" l="1"/>
  <c r="G66" i="17" l="1"/>
  <c r="F66" i="17"/>
  <c r="E66" i="17"/>
  <c r="K66" i="17" l="1"/>
  <c r="O66" i="17"/>
  <c r="S66" i="17"/>
  <c r="R66" i="17"/>
  <c r="Q66" i="17"/>
  <c r="P66" i="17"/>
  <c r="N66" i="17"/>
  <c r="M66" i="17"/>
  <c r="L66" i="17"/>
  <c r="J66" i="17"/>
  <c r="I66" i="17"/>
  <c r="H66" i="17"/>
  <c r="L14" i="41"/>
  <c r="K14" i="41"/>
  <c r="J14" i="41"/>
  <c r="I14" i="41"/>
  <c r="H14" i="41"/>
  <c r="G14" i="41"/>
  <c r="F14" i="41"/>
  <c r="E14" i="41"/>
  <c r="D14" i="41"/>
  <c r="M14" i="41"/>
  <c r="J66" i="25"/>
  <c r="I66" i="25"/>
  <c r="H66" i="25"/>
  <c r="G66" i="25"/>
  <c r="F66" i="25"/>
  <c r="E66" i="25"/>
  <c r="D66" i="25"/>
  <c r="J73" i="25"/>
  <c r="I73" i="25"/>
  <c r="H73" i="25"/>
  <c r="G73" i="25"/>
  <c r="F73" i="25"/>
  <c r="E73" i="25"/>
  <c r="D73" i="25"/>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36" i="31"/>
  <c r="M11" i="44" s="1"/>
  <c r="R137" i="31"/>
  <c r="R138" i="31"/>
  <c r="R139" i="31"/>
  <c r="M12" i="44" s="1"/>
  <c r="R105" i="31"/>
  <c r="R106" i="31"/>
  <c r="R107" i="31"/>
  <c r="R100" i="31"/>
  <c r="R101" i="31"/>
  <c r="R102" i="31"/>
  <c r="R86" i="31"/>
  <c r="M14" i="44" s="1"/>
  <c r="R88" i="31"/>
  <c r="R90" i="31"/>
  <c r="R91" i="31"/>
  <c r="R92" i="31"/>
  <c r="R93" i="31"/>
  <c r="R94" i="31"/>
  <c r="R97" i="31"/>
  <c r="R77" i="31"/>
  <c r="R81" i="31"/>
  <c r="R82" i="31"/>
  <c r="R83" i="31"/>
  <c r="M13" i="44" s="1"/>
  <c r="R11" i="31"/>
  <c r="R59" i="31"/>
  <c r="R68" i="31" s="1"/>
  <c r="R55" i="31"/>
  <c r="R48" i="31"/>
  <c r="R42" i="31" s="1"/>
  <c r="R37" i="31"/>
  <c r="R33" i="31"/>
  <c r="R31" i="31"/>
  <c r="R29" i="31"/>
  <c r="R20" i="31"/>
  <c r="R22" i="31"/>
  <c r="R16" i="31"/>
  <c r="R13" i="31"/>
  <c r="R14" i="31"/>
  <c r="M86" i="32"/>
  <c r="N86" i="32"/>
  <c r="O86" i="32"/>
  <c r="P86" i="32"/>
  <c r="Q86" i="32"/>
  <c r="R86" i="32"/>
  <c r="S86" i="32"/>
  <c r="T86" i="32"/>
  <c r="U86" i="32"/>
  <c r="V86" i="32"/>
  <c r="W86" i="32"/>
  <c r="W90" i="32"/>
  <c r="W91" i="32"/>
  <c r="W92" i="32"/>
  <c r="W93" i="32"/>
  <c r="W94" i="32"/>
  <c r="W88" i="32"/>
  <c r="W97" i="32"/>
  <c r="R72" i="31"/>
  <c r="R80" i="31" l="1"/>
  <c r="R78" i="31" s="1"/>
  <c r="M18" i="44" s="1"/>
  <c r="M16" i="44"/>
  <c r="R140" i="31"/>
  <c r="R112" i="31"/>
  <c r="R116" i="31" s="1"/>
  <c r="R38" i="31"/>
  <c r="R39" i="31" s="1"/>
  <c r="R108" i="31"/>
  <c r="R103" i="31"/>
  <c r="R24" i="31"/>
  <c r="R131" i="31"/>
  <c r="R87" i="31"/>
  <c r="R66" i="31"/>
  <c r="R62" i="31"/>
  <c r="W11" i="32"/>
  <c r="W136" i="32"/>
  <c r="W137" i="32"/>
  <c r="W138" i="32"/>
  <c r="W139" i="32"/>
  <c r="W131" i="32"/>
  <c r="W105" i="32"/>
  <c r="W106" i="32"/>
  <c r="W107" i="32"/>
  <c r="W112" i="32"/>
  <c r="W100" i="32"/>
  <c r="W101" i="32"/>
  <c r="W102" i="32"/>
  <c r="W77" i="32"/>
  <c r="W81" i="32"/>
  <c r="W82" i="32"/>
  <c r="W83" i="32"/>
  <c r="W72" i="32"/>
  <c r="W59" i="32"/>
  <c r="W68" i="32" s="1"/>
  <c r="W55" i="32"/>
  <c r="W48" i="32"/>
  <c r="W39" i="32" s="1"/>
  <c r="W38" i="32"/>
  <c r="W41" i="32" s="1"/>
  <c r="W34" i="32"/>
  <c r="W32" i="32"/>
  <c r="W30" i="32"/>
  <c r="W21" i="32"/>
  <c r="W25" i="32" s="1"/>
  <c r="W23" i="32"/>
  <c r="W16" i="32"/>
  <c r="W17" i="32"/>
  <c r="W13" i="32"/>
  <c r="W14" i="32"/>
  <c r="L16" i="32"/>
  <c r="M16" i="32"/>
  <c r="W40" i="32" l="1"/>
  <c r="M19" i="44"/>
  <c r="R40" i="31"/>
  <c r="R41" i="31" s="1"/>
  <c r="W103" i="32"/>
  <c r="R89" i="31"/>
  <c r="R96" i="31" s="1"/>
  <c r="W80" i="32"/>
  <c r="W78" i="32" s="1"/>
  <c r="R134" i="31"/>
  <c r="R79" i="31"/>
  <c r="M21" i="44" s="1"/>
  <c r="R64" i="31"/>
  <c r="W140" i="32"/>
  <c r="W108" i="32"/>
  <c r="W110" i="32" s="1"/>
  <c r="W42" i="32"/>
  <c r="W62" i="32"/>
  <c r="W66" i="32"/>
  <c r="L86" i="32"/>
  <c r="Q86" i="31"/>
  <c r="L14" i="44" s="1"/>
  <c r="P86" i="31"/>
  <c r="K14" i="44" s="1"/>
  <c r="O86" i="31"/>
  <c r="J14" i="44" s="1"/>
  <c r="N86" i="31"/>
  <c r="I14" i="44" s="1"/>
  <c r="M86" i="31"/>
  <c r="H14" i="44" s="1"/>
  <c r="L86" i="31"/>
  <c r="G14" i="44" s="1"/>
  <c r="K86" i="31"/>
  <c r="F14" i="44" s="1"/>
  <c r="J86" i="31"/>
  <c r="E14" i="44" s="1"/>
  <c r="I86" i="31"/>
  <c r="D14" i="44" s="1"/>
  <c r="M94" i="32"/>
  <c r="N94" i="32"/>
  <c r="O94" i="32"/>
  <c r="P94" i="32"/>
  <c r="Q94" i="32"/>
  <c r="R94" i="32"/>
  <c r="S94" i="32"/>
  <c r="T94" i="32"/>
  <c r="U94" i="32"/>
  <c r="V94" i="32"/>
  <c r="L94" i="32"/>
  <c r="M93" i="32"/>
  <c r="N93" i="32"/>
  <c r="O93" i="32"/>
  <c r="P93" i="32"/>
  <c r="Q93" i="32"/>
  <c r="R93" i="32"/>
  <c r="S93" i="32"/>
  <c r="T93" i="32"/>
  <c r="U93" i="32"/>
  <c r="V93" i="32"/>
  <c r="L93" i="32"/>
  <c r="M22" i="44" l="1"/>
  <c r="W134" i="32"/>
  <c r="W87" i="32"/>
  <c r="W64" i="32"/>
  <c r="W79" i="32"/>
  <c r="N92" i="31"/>
  <c r="Q92" i="31"/>
  <c r="M92" i="31"/>
  <c r="O92" i="31"/>
  <c r="M23" i="44" l="1"/>
  <c r="M24" i="44"/>
  <c r="M25" i="44" s="1"/>
  <c r="W89" i="32"/>
  <c r="W96" i="32" s="1"/>
  <c r="P92" i="31"/>
  <c r="Q94" i="31"/>
  <c r="P94" i="31"/>
  <c r="O94" i="31"/>
  <c r="N94" i="31"/>
  <c r="M94" i="31"/>
  <c r="L94" i="31"/>
  <c r="K94" i="31"/>
  <c r="J94" i="31"/>
  <c r="I94" i="31"/>
  <c r="Q93" i="31"/>
  <c r="P93" i="31"/>
  <c r="O93" i="31"/>
  <c r="N93" i="31"/>
  <c r="M93" i="31"/>
  <c r="L93" i="31"/>
  <c r="K93" i="31"/>
  <c r="J93" i="31"/>
  <c r="I93" i="31"/>
  <c r="P90" i="31"/>
  <c r="O90" i="31"/>
  <c r="N90" i="31"/>
  <c r="M90" i="31"/>
  <c r="L90" i="31"/>
  <c r="K90" i="31"/>
  <c r="J90" i="31"/>
  <c r="I90" i="31"/>
  <c r="Q90" i="31"/>
  <c r="L92" i="31" l="1"/>
  <c r="I92" i="31"/>
  <c r="J92" i="31"/>
  <c r="K92" i="31"/>
  <c r="R92" i="32" l="1"/>
  <c r="P92" i="32"/>
  <c r="L92" i="32"/>
  <c r="N92" i="32"/>
  <c r="Q92" i="32"/>
  <c r="V92" i="32"/>
  <c r="S92" i="32"/>
  <c r="M92" i="32"/>
  <c r="U92" i="32"/>
  <c r="O92" i="32"/>
  <c r="T92" i="32"/>
  <c r="J23" i="32" l="1"/>
  <c r="I23" i="32"/>
  <c r="H23" i="32"/>
  <c r="J21" i="32"/>
  <c r="J25" i="32" s="1"/>
  <c r="I21" i="32"/>
  <c r="I25" i="32" s="1"/>
  <c r="H21" i="32"/>
  <c r="H25" i="32" s="1"/>
  <c r="V91" i="32"/>
  <c r="U91" i="32"/>
  <c r="T91" i="32"/>
  <c r="S91" i="32"/>
  <c r="R91" i="32"/>
  <c r="Q91" i="32"/>
  <c r="P91" i="32"/>
  <c r="O91" i="32"/>
  <c r="N91" i="32"/>
  <c r="M91" i="32"/>
  <c r="L91" i="32"/>
  <c r="V90" i="32"/>
  <c r="U90" i="32"/>
  <c r="T90" i="32"/>
  <c r="S90" i="32"/>
  <c r="R90" i="32"/>
  <c r="Q90" i="32"/>
  <c r="P90" i="32"/>
  <c r="O90" i="32"/>
  <c r="N90" i="32"/>
  <c r="M90" i="32"/>
  <c r="L90" i="32"/>
  <c r="Q91" i="31"/>
  <c r="P91" i="31"/>
  <c r="O91" i="31"/>
  <c r="N91" i="31"/>
  <c r="M91" i="31"/>
  <c r="L91" i="31"/>
  <c r="K91" i="31"/>
  <c r="J91" i="31"/>
  <c r="I91" i="31"/>
  <c r="D8" i="41" l="1"/>
  <c r="D24" i="41" s="1"/>
  <c r="E8" i="41"/>
  <c r="E24" i="41" s="1"/>
  <c r="F8" i="41"/>
  <c r="F24" i="41" s="1"/>
  <c r="G8" i="41"/>
  <c r="G24" i="41" s="1"/>
  <c r="H8" i="41"/>
  <c r="H24" i="41" s="1"/>
  <c r="I8" i="41"/>
  <c r="I24" i="41" s="1"/>
  <c r="D8" i="44"/>
  <c r="E8" i="44"/>
  <c r="F8" i="44"/>
  <c r="H8" i="44"/>
  <c r="G8" i="44"/>
  <c r="I8" i="44"/>
  <c r="T112" i="32"/>
  <c r="U112" i="32"/>
  <c r="V112" i="32"/>
  <c r="L112" i="32"/>
  <c r="M112" i="32"/>
  <c r="N112" i="32"/>
  <c r="O112" i="32"/>
  <c r="P112" i="32"/>
  <c r="Q112" i="32"/>
  <c r="R112" i="32"/>
  <c r="S112" i="32"/>
  <c r="M97" i="32" l="1"/>
  <c r="N97" i="32"/>
  <c r="O97" i="32"/>
  <c r="P97" i="32"/>
  <c r="Q97" i="32"/>
  <c r="R97" i="32"/>
  <c r="S97" i="32"/>
  <c r="T97" i="32"/>
  <c r="U97" i="32"/>
  <c r="V97" i="32"/>
  <c r="L97" i="32"/>
  <c r="J97" i="31"/>
  <c r="K97" i="31"/>
  <c r="L97" i="31"/>
  <c r="M97" i="31"/>
  <c r="N97" i="31"/>
  <c r="O97" i="31"/>
  <c r="P97" i="31"/>
  <c r="Q97" i="31"/>
  <c r="I97" i="31"/>
  <c r="U131" i="32" l="1"/>
  <c r="R131" i="32"/>
  <c r="L131" i="32"/>
  <c r="V131" i="32"/>
  <c r="S131" i="32"/>
  <c r="T131" i="32"/>
  <c r="P131" i="32"/>
  <c r="O131" i="32"/>
  <c r="N131" i="32"/>
  <c r="Q131" i="32"/>
  <c r="M131" i="32"/>
  <c r="I129" i="31"/>
  <c r="J129" i="31"/>
  <c r="K129" i="31"/>
  <c r="P129" i="31"/>
  <c r="O129" i="31"/>
  <c r="N129" i="31"/>
  <c r="M129" i="31"/>
  <c r="L129" i="31"/>
  <c r="K23" i="32"/>
  <c r="K21" i="32"/>
  <c r="K25" i="32" s="1"/>
  <c r="M88" i="32"/>
  <c r="N88" i="32"/>
  <c r="O88" i="32"/>
  <c r="P88" i="32"/>
  <c r="Q88" i="32"/>
  <c r="R88" i="32"/>
  <c r="S88" i="32"/>
  <c r="T88" i="32"/>
  <c r="U88" i="32"/>
  <c r="V88" i="32"/>
  <c r="L88" i="32"/>
  <c r="M82" i="32"/>
  <c r="N82" i="32"/>
  <c r="O82" i="32"/>
  <c r="P82" i="32"/>
  <c r="Q82" i="32"/>
  <c r="R82" i="32"/>
  <c r="S82" i="32"/>
  <c r="T107" i="32"/>
  <c r="U107" i="32"/>
  <c r="V55" i="32"/>
  <c r="L82" i="32"/>
  <c r="M102" i="32"/>
  <c r="N102" i="32"/>
  <c r="O102" i="32"/>
  <c r="P102" i="32"/>
  <c r="Q102" i="32"/>
  <c r="R102" i="32"/>
  <c r="S102" i="32"/>
  <c r="T102" i="32"/>
  <c r="U102" i="32"/>
  <c r="V102" i="32"/>
  <c r="L102" i="32"/>
  <c r="M137" i="32"/>
  <c r="S137" i="32"/>
  <c r="T137" i="32"/>
  <c r="U137" i="32"/>
  <c r="V137" i="32"/>
  <c r="L137" i="32"/>
  <c r="P106" i="32"/>
  <c r="Q106" i="32"/>
  <c r="R106" i="32"/>
  <c r="S106" i="32"/>
  <c r="T106" i="32"/>
  <c r="U106" i="32"/>
  <c r="V106" i="32"/>
  <c r="P101" i="32"/>
  <c r="Q101" i="32"/>
  <c r="R101" i="32"/>
  <c r="S101" i="32"/>
  <c r="N105" i="32"/>
  <c r="P105" i="32"/>
  <c r="Q105" i="32"/>
  <c r="R105" i="32"/>
  <c r="T77" i="32"/>
  <c r="V105" i="32"/>
  <c r="M30" i="32"/>
  <c r="N30" i="32"/>
  <c r="O100" i="32"/>
  <c r="R100" i="32"/>
  <c r="S100" i="32"/>
  <c r="U34" i="32"/>
  <c r="V34" i="32"/>
  <c r="L30" i="32"/>
  <c r="U81" i="32"/>
  <c r="V81" i="32"/>
  <c r="U83" i="32"/>
  <c r="V83" i="32"/>
  <c r="U136" i="32"/>
  <c r="V136" i="32"/>
  <c r="U138" i="32"/>
  <c r="V138" i="32"/>
  <c r="U139" i="32"/>
  <c r="V139" i="32"/>
  <c r="T83" i="32"/>
  <c r="S83" i="32"/>
  <c r="R83" i="32"/>
  <c r="Q83" i="32"/>
  <c r="P83" i="32"/>
  <c r="O83" i="32"/>
  <c r="N83" i="32"/>
  <c r="M83" i="32"/>
  <c r="L83" i="32"/>
  <c r="J83" i="31"/>
  <c r="E13" i="44" s="1"/>
  <c r="K83" i="31"/>
  <c r="F13" i="44" s="1"/>
  <c r="L83" i="31"/>
  <c r="G13" i="44" s="1"/>
  <c r="M83" i="31"/>
  <c r="H13" i="44" s="1"/>
  <c r="N83" i="31"/>
  <c r="I13" i="44" s="1"/>
  <c r="O83" i="31"/>
  <c r="J13" i="44" s="1"/>
  <c r="P83" i="31"/>
  <c r="K13" i="44" s="1"/>
  <c r="Q83" i="31"/>
  <c r="L13" i="44" s="1"/>
  <c r="I83" i="31"/>
  <c r="D13" i="44" s="1"/>
  <c r="J82" i="31"/>
  <c r="I82" i="31"/>
  <c r="T139" i="32"/>
  <c r="S139" i="32"/>
  <c r="R139" i="32"/>
  <c r="Q139" i="32"/>
  <c r="P139" i="32"/>
  <c r="O139" i="32"/>
  <c r="N139" i="32"/>
  <c r="M139" i="32"/>
  <c r="L139" i="32"/>
  <c r="T138" i="32"/>
  <c r="S138" i="32"/>
  <c r="R138" i="32"/>
  <c r="Q138" i="32"/>
  <c r="P138" i="32"/>
  <c r="O138" i="32"/>
  <c r="N138" i="32"/>
  <c r="M138" i="32"/>
  <c r="L138" i="32"/>
  <c r="T136" i="32"/>
  <c r="S136" i="32"/>
  <c r="R136" i="32"/>
  <c r="Q136" i="32"/>
  <c r="P136" i="32"/>
  <c r="O136" i="32"/>
  <c r="N136" i="32"/>
  <c r="M136" i="32"/>
  <c r="L136" i="32"/>
  <c r="K107" i="32"/>
  <c r="K106" i="32"/>
  <c r="K105" i="32"/>
  <c r="T81" i="32"/>
  <c r="S81" i="32"/>
  <c r="R81" i="32"/>
  <c r="Q81" i="32"/>
  <c r="P81" i="32"/>
  <c r="O81" i="32"/>
  <c r="N81" i="32"/>
  <c r="M81" i="32"/>
  <c r="L81" i="32"/>
  <c r="K61" i="32"/>
  <c r="K59" i="32"/>
  <c r="Q139" i="31"/>
  <c r="L12" i="44" s="1"/>
  <c r="P139" i="31"/>
  <c r="K12" i="44" s="1"/>
  <c r="O139" i="31"/>
  <c r="J12" i="44" s="1"/>
  <c r="N139" i="31"/>
  <c r="I12" i="44" s="1"/>
  <c r="M139" i="31"/>
  <c r="H12" i="44" s="1"/>
  <c r="L139" i="31"/>
  <c r="G12" i="44" s="1"/>
  <c r="K139" i="31"/>
  <c r="F12" i="44" s="1"/>
  <c r="J139" i="31"/>
  <c r="E12" i="44" s="1"/>
  <c r="I139" i="31"/>
  <c r="D12" i="44" s="1"/>
  <c r="Q138" i="31"/>
  <c r="P138" i="31"/>
  <c r="O138" i="31"/>
  <c r="N138" i="31"/>
  <c r="M138" i="31"/>
  <c r="L138" i="31"/>
  <c r="K138" i="31"/>
  <c r="J138" i="31"/>
  <c r="Q136" i="31"/>
  <c r="L11" i="44" s="1"/>
  <c r="P136" i="31"/>
  <c r="K11" i="44" s="1"/>
  <c r="O136" i="31"/>
  <c r="J11" i="44" s="1"/>
  <c r="N136" i="31"/>
  <c r="I11" i="44" s="1"/>
  <c r="M136" i="31"/>
  <c r="H11" i="44" s="1"/>
  <c r="L136" i="31"/>
  <c r="G11" i="44" s="1"/>
  <c r="K136" i="31"/>
  <c r="F11" i="44" s="1"/>
  <c r="J136" i="31"/>
  <c r="E11" i="44" s="1"/>
  <c r="I136" i="31"/>
  <c r="D11" i="44" s="1"/>
  <c r="I138" i="31"/>
  <c r="H107" i="31"/>
  <c r="H106" i="31"/>
  <c r="H105" i="31"/>
  <c r="J102" i="31"/>
  <c r="I102" i="31"/>
  <c r="H61" i="31"/>
  <c r="H59" i="31"/>
  <c r="J55" i="31"/>
  <c r="I55" i="31"/>
  <c r="H22" i="31"/>
  <c r="H20" i="31"/>
  <c r="H24" i="31" s="1"/>
  <c r="Q81" i="31"/>
  <c r="P81" i="31"/>
  <c r="O81" i="31"/>
  <c r="N81" i="31"/>
  <c r="M81" i="31"/>
  <c r="L81" i="31"/>
  <c r="K81" i="31"/>
  <c r="J81" i="31"/>
  <c r="I81" i="31"/>
  <c r="Q77" i="31"/>
  <c r="P77" i="31"/>
  <c r="O77" i="31"/>
  <c r="N77" i="31"/>
  <c r="M77" i="31"/>
  <c r="L77" i="31"/>
  <c r="K77" i="31"/>
  <c r="J77" i="31"/>
  <c r="I77" i="31"/>
  <c r="I29" i="31"/>
  <c r="Q100" i="31"/>
  <c r="P100" i="31"/>
  <c r="O100" i="31"/>
  <c r="N100" i="31"/>
  <c r="M100" i="31"/>
  <c r="L100" i="31"/>
  <c r="K100" i="31"/>
  <c r="J100" i="31"/>
  <c r="K16" i="44" l="1"/>
  <c r="L16" i="44"/>
  <c r="H108"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59" i="32"/>
  <c r="Q100" i="32"/>
  <c r="Q103" i="32" s="1"/>
  <c r="Q21" i="32"/>
  <c r="Q25" i="32" s="1"/>
  <c r="M11" i="32"/>
  <c r="J131" i="31"/>
  <c r="K131" i="31"/>
  <c r="Q11" i="32"/>
  <c r="R11" i="32"/>
  <c r="M131" i="31"/>
  <c r="P131" i="31"/>
  <c r="N131" i="31"/>
  <c r="O131" i="31"/>
  <c r="I131" i="31"/>
  <c r="Q131" i="31"/>
  <c r="L131" i="31"/>
  <c r="P30" i="32"/>
  <c r="V38" i="32"/>
  <c r="N100" i="32"/>
  <c r="M34" i="32"/>
  <c r="U38" i="32"/>
  <c r="L21" i="32"/>
  <c r="L22" i="32" s="1"/>
  <c r="M23" i="32"/>
  <c r="M24" i="32" s="1"/>
  <c r="O23" i="32"/>
  <c r="O24" i="32" s="1"/>
  <c r="P100" i="32"/>
  <c r="P103" i="32" s="1"/>
  <c r="U23" i="32"/>
  <c r="Y24" i="32" s="1"/>
  <c r="M105" i="32"/>
  <c r="R21" i="32"/>
  <c r="M21" i="32"/>
  <c r="M22" i="32" s="1"/>
  <c r="N23" i="32"/>
  <c r="N24" i="32" s="1"/>
  <c r="T21" i="32"/>
  <c r="X22" i="32" s="1"/>
  <c r="V72" i="32"/>
  <c r="O21" i="32"/>
  <c r="O22" i="32" s="1"/>
  <c r="Q23" i="32"/>
  <c r="U30" i="32"/>
  <c r="P11" i="32"/>
  <c r="T11" i="32"/>
  <c r="T23" i="32"/>
  <c r="X24" i="32" s="1"/>
  <c r="O105" i="32"/>
  <c r="S11" i="32"/>
  <c r="V101" i="32"/>
  <c r="S23" i="32"/>
  <c r="W24" i="32" s="1"/>
  <c r="P21" i="32"/>
  <c r="S30" i="32"/>
  <c r="N21" i="32"/>
  <c r="N22" i="32" s="1"/>
  <c r="Q30" i="32"/>
  <c r="O30" i="32"/>
  <c r="U55" i="32"/>
  <c r="L23" i="32"/>
  <c r="L24" i="32" s="1"/>
  <c r="R23" i="32"/>
  <c r="V11" i="32"/>
  <c r="P23" i="32"/>
  <c r="L55" i="32"/>
  <c r="U11" i="32"/>
  <c r="R30" i="32"/>
  <c r="T30" i="32"/>
  <c r="U72" i="32"/>
  <c r="V30" i="32"/>
  <c r="V21" i="32"/>
  <c r="V23" i="32"/>
  <c r="O11" i="32"/>
  <c r="U21" i="32"/>
  <c r="Y22" i="32" s="1"/>
  <c r="L107" i="32"/>
  <c r="S21" i="32"/>
  <c r="W22" i="32" s="1"/>
  <c r="M107" i="32"/>
  <c r="M55" i="32"/>
  <c r="V140" i="32"/>
  <c r="U48" i="32"/>
  <c r="U39" i="32" s="1"/>
  <c r="U140" i="32"/>
  <c r="V48" i="32"/>
  <c r="V39" i="32" s="1"/>
  <c r="U105" i="32"/>
  <c r="U108" i="32" s="1"/>
  <c r="V77" i="32"/>
  <c r="U77" i="32"/>
  <c r="V32" i="32"/>
  <c r="V59" i="32"/>
  <c r="V68" i="32" s="1"/>
  <c r="V100" i="32"/>
  <c r="V82" i="32"/>
  <c r="U82" i="32"/>
  <c r="U101" i="32"/>
  <c r="V107" i="32"/>
  <c r="V108" i="32" s="1"/>
  <c r="U100" i="32"/>
  <c r="U32" i="32"/>
  <c r="U59" i="32"/>
  <c r="S140" i="32"/>
  <c r="T82" i="32"/>
  <c r="T140" i="32"/>
  <c r="N32" i="32"/>
  <c r="O32" i="32"/>
  <c r="L59" i="32"/>
  <c r="L11" i="32"/>
  <c r="R34" i="32"/>
  <c r="S34" i="32"/>
  <c r="R38" i="32"/>
  <c r="L72" i="32"/>
  <c r="O38" i="32"/>
  <c r="T48" i="32"/>
  <c r="T39" i="32" s="1"/>
  <c r="Q72" i="32"/>
  <c r="N77" i="32"/>
  <c r="S72" i="32"/>
  <c r="R72" i="32"/>
  <c r="T59" i="32"/>
  <c r="R103" i="32"/>
  <c r="P34" i="32"/>
  <c r="R48" i="32"/>
  <c r="R39" i="32" s="1"/>
  <c r="T55" i="32"/>
  <c r="R32" i="32"/>
  <c r="R77" i="32"/>
  <c r="N34" i="32"/>
  <c r="P48" i="32"/>
  <c r="S59" i="32"/>
  <c r="O34" i="32"/>
  <c r="Q48" i="32"/>
  <c r="P38" i="32"/>
  <c r="Q38" i="32"/>
  <c r="S103" i="32"/>
  <c r="Q34" i="32"/>
  <c r="S48" i="32"/>
  <c r="N55" i="32"/>
  <c r="N107" i="32"/>
  <c r="M72" i="32"/>
  <c r="N72" i="32"/>
  <c r="Q107" i="32"/>
  <c r="Q108" i="32" s="1"/>
  <c r="Q55" i="32"/>
  <c r="T101" i="32"/>
  <c r="T38" i="32"/>
  <c r="N137" i="32"/>
  <c r="N140" i="32" s="1"/>
  <c r="S107" i="32"/>
  <c r="S55" i="32"/>
  <c r="M100" i="32"/>
  <c r="M32" i="32"/>
  <c r="L48" i="32"/>
  <c r="L106" i="32"/>
  <c r="O137" i="32"/>
  <c r="O140" i="32" s="1"/>
  <c r="L105" i="32"/>
  <c r="L77" i="32"/>
  <c r="L32" i="32"/>
  <c r="T34" i="32"/>
  <c r="T100" i="32"/>
  <c r="O55" i="32"/>
  <c r="O107" i="32"/>
  <c r="O72" i="32"/>
  <c r="R107" i="32"/>
  <c r="R108" i="32" s="1"/>
  <c r="R55" i="32"/>
  <c r="M106" i="32"/>
  <c r="M48" i="32"/>
  <c r="P137" i="32"/>
  <c r="P140" i="32" s="1"/>
  <c r="S38" i="32"/>
  <c r="P72" i="32"/>
  <c r="S32" i="32"/>
  <c r="S105" i="32"/>
  <c r="N106" i="32"/>
  <c r="N48" i="32"/>
  <c r="Q137" i="32"/>
  <c r="Q140" i="32" s="1"/>
  <c r="L140" i="32"/>
  <c r="T32" i="32"/>
  <c r="T105" i="32"/>
  <c r="T108" i="32" s="1"/>
  <c r="L38" i="32"/>
  <c r="L101" i="32"/>
  <c r="O106" i="32"/>
  <c r="O48" i="32"/>
  <c r="R137" i="32"/>
  <c r="R140" i="32" s="1"/>
  <c r="M140" i="32"/>
  <c r="M38" i="32"/>
  <c r="L34" i="32"/>
  <c r="L100" i="32"/>
  <c r="N38" i="32"/>
  <c r="T72" i="32"/>
  <c r="S77" i="32"/>
  <c r="P55" i="32"/>
  <c r="P107" i="32"/>
  <c r="P108" i="32" s="1"/>
  <c r="P32" i="32"/>
  <c r="Q32" i="32"/>
  <c r="N59" i="32"/>
  <c r="M77" i="32"/>
  <c r="M101" i="32"/>
  <c r="N101" i="32"/>
  <c r="P59" i="32"/>
  <c r="P68" i="32" s="1"/>
  <c r="O77" i="32"/>
  <c r="O101" i="32"/>
  <c r="O103" i="32" s="1"/>
  <c r="Q59" i="32"/>
  <c r="Q68" i="32" s="1"/>
  <c r="P77" i="32"/>
  <c r="O59" i="32"/>
  <c r="R59" i="32"/>
  <c r="R68" i="32" s="1"/>
  <c r="Q77" i="32"/>
  <c r="Q105" i="31"/>
  <c r="O105" i="31"/>
  <c r="P105" i="31"/>
  <c r="I105" i="31"/>
  <c r="K105" i="31"/>
  <c r="L105" i="31"/>
  <c r="J105" i="31"/>
  <c r="M105" i="31"/>
  <c r="N105" i="31"/>
  <c r="I100" i="31"/>
  <c r="I72" i="31"/>
  <c r="O72" i="31"/>
  <c r="P72" i="31"/>
  <c r="Q72" i="31"/>
  <c r="J72" i="31"/>
  <c r="K72" i="31"/>
  <c r="L72" i="31"/>
  <c r="M72" i="31"/>
  <c r="N72" i="31"/>
  <c r="I20" i="31"/>
  <c r="K22" i="31"/>
  <c r="J22" i="31"/>
  <c r="I22" i="31"/>
  <c r="M22" i="31"/>
  <c r="Q22" i="31"/>
  <c r="R23" i="31" s="1"/>
  <c r="M20" i="31"/>
  <c r="N22" i="31"/>
  <c r="O22" i="31"/>
  <c r="P22" i="31"/>
  <c r="N20" i="31"/>
  <c r="O20" i="31"/>
  <c r="P20" i="31"/>
  <c r="L20" i="31"/>
  <c r="Q20" i="31"/>
  <c r="R21" i="31" s="1"/>
  <c r="L22" i="31"/>
  <c r="J20" i="31"/>
  <c r="K20" i="31"/>
  <c r="J88" i="31"/>
  <c r="K88" i="31"/>
  <c r="L88" i="31"/>
  <c r="M88" i="31"/>
  <c r="N88" i="31"/>
  <c r="O88" i="31"/>
  <c r="P88" i="31"/>
  <c r="Q88" i="31"/>
  <c r="I88" i="31"/>
  <c r="K82" i="31"/>
  <c r="O82" i="31"/>
  <c r="P82" i="31"/>
  <c r="K102" i="31"/>
  <c r="L102" i="31"/>
  <c r="M102" i="31"/>
  <c r="N102" i="31"/>
  <c r="O102" i="31"/>
  <c r="P102" i="31"/>
  <c r="Q102" i="31"/>
  <c r="J137" i="31"/>
  <c r="J140" i="31" s="1"/>
  <c r="K137" i="31"/>
  <c r="K140" i="31" s="1"/>
  <c r="L137" i="31"/>
  <c r="L140" i="31" s="1"/>
  <c r="M137" i="31"/>
  <c r="M140" i="31" s="1"/>
  <c r="N137" i="31"/>
  <c r="N140" i="31" s="1"/>
  <c r="O137" i="31"/>
  <c r="O140" i="31" s="1"/>
  <c r="P137" i="31"/>
  <c r="P140" i="31" s="1"/>
  <c r="Q137" i="31"/>
  <c r="Q140" i="31" s="1"/>
  <c r="I137" i="31"/>
  <c r="I140" i="31" s="1"/>
  <c r="J106" i="31"/>
  <c r="K106" i="31"/>
  <c r="L106" i="31"/>
  <c r="M106" i="31"/>
  <c r="N106" i="31"/>
  <c r="O106" i="31"/>
  <c r="P106" i="31"/>
  <c r="Q106" i="31"/>
  <c r="I106" i="31"/>
  <c r="J101" i="31"/>
  <c r="J103" i="31" s="1"/>
  <c r="K101" i="31"/>
  <c r="L101" i="31"/>
  <c r="M101" i="31"/>
  <c r="N101" i="31"/>
  <c r="O101" i="31"/>
  <c r="P101" i="31"/>
  <c r="Q101" i="31"/>
  <c r="I101" i="31"/>
  <c r="I13" i="31"/>
  <c r="R41" i="32" l="1"/>
  <c r="U41" i="32"/>
  <c r="T41" i="32"/>
  <c r="N39" i="32"/>
  <c r="N40" i="32" s="1"/>
  <c r="N41" i="32"/>
  <c r="S39" i="32"/>
  <c r="S40" i="32" s="1"/>
  <c r="V41" i="32"/>
  <c r="O39" i="32"/>
  <c r="O41" i="32" s="1"/>
  <c r="Q39" i="32"/>
  <c r="Q40" i="32" s="1"/>
  <c r="M39" i="32"/>
  <c r="M41" i="32" s="1"/>
  <c r="P39" i="32"/>
  <c r="P41" i="32" s="1"/>
  <c r="P42" i="32" s="1"/>
  <c r="L39" i="32"/>
  <c r="L41" i="32" s="1"/>
  <c r="X60" i="32"/>
  <c r="T68" i="32"/>
  <c r="W60" i="32"/>
  <c r="S68" i="32"/>
  <c r="Y60" i="32"/>
  <c r="U68" i="32"/>
  <c r="N60" i="32"/>
  <c r="N68" i="32"/>
  <c r="L60" i="32"/>
  <c r="L68" i="32"/>
  <c r="O60" i="32"/>
  <c r="O68" i="32"/>
  <c r="M60" i="32"/>
  <c r="M68" i="32"/>
  <c r="T80" i="32"/>
  <c r="T78" i="32" s="1"/>
  <c r="R80" i="32"/>
  <c r="R78" i="32" s="1"/>
  <c r="V80" i="32"/>
  <c r="V78" i="32" s="1"/>
  <c r="U40" i="32"/>
  <c r="L63" i="32"/>
  <c r="M63" i="32"/>
  <c r="V22" i="32"/>
  <c r="U24" i="32"/>
  <c r="S22" i="32"/>
  <c r="U22" i="32"/>
  <c r="R24" i="32"/>
  <c r="P22" i="32"/>
  <c r="S24" i="32"/>
  <c r="T22" i="32"/>
  <c r="P25" i="32"/>
  <c r="T25" i="32"/>
  <c r="X26" i="32" s="1"/>
  <c r="V24" i="32"/>
  <c r="M25" i="32"/>
  <c r="M26" i="32" s="1"/>
  <c r="U25" i="32"/>
  <c r="T24" i="32"/>
  <c r="R22" i="32"/>
  <c r="V25" i="32"/>
  <c r="L25" i="32"/>
  <c r="L26" i="32" s="1"/>
  <c r="R25" i="32"/>
  <c r="N25" i="32"/>
  <c r="N26" i="32" s="1"/>
  <c r="P24" i="32"/>
  <c r="Q24" i="32"/>
  <c r="Q22" i="32"/>
  <c r="O25" i="32"/>
  <c r="O26" i="32" s="1"/>
  <c r="S25" i="32"/>
  <c r="W26" i="32" s="1"/>
  <c r="M13" i="31"/>
  <c r="J13" i="31"/>
  <c r="K13" i="31"/>
  <c r="L13" i="31"/>
  <c r="Q13" i="31"/>
  <c r="N13" i="31"/>
  <c r="O13" i="31"/>
  <c r="P13" i="31"/>
  <c r="N103" i="32"/>
  <c r="V110" i="32"/>
  <c r="U103" i="32"/>
  <c r="P60" i="32"/>
  <c r="V40" i="32"/>
  <c r="U80" i="32"/>
  <c r="U78" i="32" s="1"/>
  <c r="M108" i="32"/>
  <c r="M110" i="32" s="1"/>
  <c r="V103" i="32"/>
  <c r="U60" i="32"/>
  <c r="Q107" i="31"/>
  <c r="Q108" i="31" s="1"/>
  <c r="Q82" i="31"/>
  <c r="N107" i="31"/>
  <c r="N108" i="31" s="1"/>
  <c r="N82" i="31"/>
  <c r="M107" i="31"/>
  <c r="M108" i="31" s="1"/>
  <c r="M82" i="31"/>
  <c r="L107" i="31"/>
  <c r="L108" i="31" s="1"/>
  <c r="L82" i="31"/>
  <c r="R60" i="32"/>
  <c r="Q60" i="32"/>
  <c r="V60" i="32"/>
  <c r="T60" i="32"/>
  <c r="S60" i="32"/>
  <c r="V62" i="32"/>
  <c r="U110" i="32"/>
  <c r="U62" i="32"/>
  <c r="P80" i="32"/>
  <c r="P78" i="32" s="1"/>
  <c r="O108" i="32"/>
  <c r="O110" i="32" s="1"/>
  <c r="T40" i="32"/>
  <c r="Q110" i="32"/>
  <c r="L108" i="32"/>
  <c r="L110" i="32" s="1"/>
  <c r="N108" i="32"/>
  <c r="N110" i="32" s="1"/>
  <c r="T103" i="32"/>
  <c r="P110" i="32"/>
  <c r="T110" i="32"/>
  <c r="R110" i="32"/>
  <c r="Q80" i="32"/>
  <c r="S80" i="32"/>
  <c r="S87" i="32" s="1"/>
  <c r="L103" i="32"/>
  <c r="N62" i="32"/>
  <c r="N80" i="32"/>
  <c r="N87" i="32" s="1"/>
  <c r="S108" i="32"/>
  <c r="S110" i="32" s="1"/>
  <c r="T62" i="32"/>
  <c r="S62" i="32"/>
  <c r="L80" i="32"/>
  <c r="L87" i="32" s="1"/>
  <c r="O80" i="32"/>
  <c r="M62" i="32"/>
  <c r="O62" i="32"/>
  <c r="P62" i="32"/>
  <c r="M80" i="32"/>
  <c r="M87" i="32" s="1"/>
  <c r="L62" i="32"/>
  <c r="M103" i="32"/>
  <c r="R62" i="32"/>
  <c r="Q62" i="32"/>
  <c r="I108" i="31"/>
  <c r="O103" i="31"/>
  <c r="L103" i="31"/>
  <c r="P55" i="31"/>
  <c r="P107" i="31"/>
  <c r="P108" i="31" s="1"/>
  <c r="O55" i="31"/>
  <c r="O107" i="31"/>
  <c r="O108" i="31" s="1"/>
  <c r="K55" i="31"/>
  <c r="K107" i="31"/>
  <c r="K108" i="31" s="1"/>
  <c r="M103" i="31"/>
  <c r="J108" i="31"/>
  <c r="K103" i="31"/>
  <c r="N103" i="31"/>
  <c r="Q103" i="31"/>
  <c r="P103" i="31"/>
  <c r="I103" i="31"/>
  <c r="I21" i="31"/>
  <c r="I23" i="31"/>
  <c r="I14" i="31"/>
  <c r="O24" i="31"/>
  <c r="L55" i="31"/>
  <c r="N55" i="31"/>
  <c r="Q55" i="31"/>
  <c r="M55" i="31"/>
  <c r="I48" i="31"/>
  <c r="I42" i="31" s="1"/>
  <c r="M48" i="31"/>
  <c r="M42" i="31" s="1"/>
  <c r="P24" i="31"/>
  <c r="M24" i="31"/>
  <c r="Q21" i="31"/>
  <c r="K24" i="31"/>
  <c r="L24" i="31"/>
  <c r="N24" i="31"/>
  <c r="Q24" i="31"/>
  <c r="R25" i="31" s="1"/>
  <c r="J24" i="31"/>
  <c r="I24" i="31"/>
  <c r="I25" i="31" s="1"/>
  <c r="O21" i="31"/>
  <c r="O23" i="31"/>
  <c r="P21" i="31"/>
  <c r="N21" i="31"/>
  <c r="P23" i="31"/>
  <c r="Q23" i="31"/>
  <c r="J21" i="31"/>
  <c r="J23" i="31"/>
  <c r="M21" i="31"/>
  <c r="K21" i="31"/>
  <c r="K23" i="31"/>
  <c r="N23" i="31"/>
  <c r="L23" i="31"/>
  <c r="M23" i="31"/>
  <c r="L21" i="31"/>
  <c r="J14" i="31"/>
  <c r="K14" i="31"/>
  <c r="L14" i="31"/>
  <c r="M14" i="31"/>
  <c r="P14" i="31"/>
  <c r="Q14" i="31"/>
  <c r="O14" i="31"/>
  <c r="N14" i="31"/>
  <c r="L40" i="32" l="1"/>
  <c r="T87" i="32"/>
  <c r="T89" i="32" s="1"/>
  <c r="T96" i="32" s="1"/>
  <c r="Q41" i="32"/>
  <c r="Q42" i="32" s="1"/>
  <c r="P40" i="32"/>
  <c r="M40" i="32"/>
  <c r="S41" i="32"/>
  <c r="T79" i="32"/>
  <c r="R87" i="32"/>
  <c r="R89" i="32" s="1"/>
  <c r="V87" i="32"/>
  <c r="U26" i="32"/>
  <c r="Y26" i="32"/>
  <c r="M80" i="31"/>
  <c r="M87" i="31" s="1"/>
  <c r="I80" i="31"/>
  <c r="I87" i="31" s="1"/>
  <c r="P79" i="32"/>
  <c r="R79" i="32"/>
  <c r="U79" i="32"/>
  <c r="V79" i="32"/>
  <c r="O134" i="32"/>
  <c r="P134" i="32"/>
  <c r="U64" i="32"/>
  <c r="N134" i="32"/>
  <c r="Q134" i="32"/>
  <c r="T134" i="32"/>
  <c r="S134" i="32"/>
  <c r="L134" i="32"/>
  <c r="M134" i="32"/>
  <c r="R134" i="32"/>
  <c r="N64" i="32"/>
  <c r="T64" i="32"/>
  <c r="S64" i="32"/>
  <c r="L64" i="32"/>
  <c r="S26" i="32"/>
  <c r="U87" i="32"/>
  <c r="V89" i="32"/>
  <c r="V96" i="32" s="1"/>
  <c r="O87" i="32"/>
  <c r="V134" i="32"/>
  <c r="Q64" i="32"/>
  <c r="R64" i="32"/>
  <c r="Q87" i="32"/>
  <c r="M64" i="32"/>
  <c r="U134" i="32"/>
  <c r="O64" i="32"/>
  <c r="V64" i="32"/>
  <c r="T26" i="32"/>
  <c r="P64" i="32"/>
  <c r="U42" i="32"/>
  <c r="P87" i="32"/>
  <c r="Q26" i="32"/>
  <c r="V26" i="32"/>
  <c r="R26" i="32"/>
  <c r="P26" i="32"/>
  <c r="U66" i="32"/>
  <c r="V66" i="32"/>
  <c r="Q78" i="32"/>
  <c r="S42" i="32"/>
  <c r="L42" i="32"/>
  <c r="S78" i="32"/>
  <c r="S89" i="32"/>
  <c r="S96" i="32" s="1"/>
  <c r="R40" i="32"/>
  <c r="O66" i="32"/>
  <c r="Q66" i="32"/>
  <c r="R66" i="32"/>
  <c r="M78" i="32"/>
  <c r="P66" i="32"/>
  <c r="O78" i="32"/>
  <c r="L66" i="32"/>
  <c r="L78" i="32"/>
  <c r="N78" i="32"/>
  <c r="N89" i="32"/>
  <c r="S66" i="32"/>
  <c r="O40" i="32"/>
  <c r="M66" i="32"/>
  <c r="N66" i="32"/>
  <c r="L89" i="32"/>
  <c r="T66" i="32"/>
  <c r="O25" i="31"/>
  <c r="P25" i="31"/>
  <c r="N25" i="31"/>
  <c r="M25" i="31"/>
  <c r="L25" i="31"/>
  <c r="J25" i="31"/>
  <c r="Q25" i="31"/>
  <c r="K25" i="31"/>
  <c r="O79" i="32" l="1"/>
  <c r="Q79" i="32"/>
  <c r="M79" i="32"/>
  <c r="N79" i="32"/>
  <c r="S79" i="32"/>
  <c r="L79" i="32"/>
  <c r="L96" i="32"/>
  <c r="R96" i="32"/>
  <c r="N96" i="32"/>
  <c r="U89" i="32"/>
  <c r="U96" i="32" s="1"/>
  <c r="P89" i="32"/>
  <c r="O89" i="32"/>
  <c r="Q89" i="32"/>
  <c r="M89" i="32"/>
  <c r="V42" i="32"/>
  <c r="N42" i="32"/>
  <c r="T42" i="32"/>
  <c r="R42" i="32"/>
  <c r="O42" i="32"/>
  <c r="M42" i="32"/>
  <c r="K11" i="31"/>
  <c r="L11" i="31"/>
  <c r="M11" i="31"/>
  <c r="N11" i="31"/>
  <c r="O11" i="31"/>
  <c r="P11" i="31"/>
  <c r="Q11" i="31"/>
  <c r="I11" i="31"/>
  <c r="M96" i="32" l="1"/>
  <c r="Q96" i="32"/>
  <c r="O96" i="32"/>
  <c r="P96" i="32"/>
  <c r="J37" i="31"/>
  <c r="J11" i="31"/>
  <c r="M78" i="31"/>
  <c r="I78" i="31"/>
  <c r="O37" i="31"/>
  <c r="N37" i="31"/>
  <c r="L37" i="31"/>
  <c r="Q37" i="31"/>
  <c r="P37" i="31"/>
  <c r="K37" i="31"/>
  <c r="I37" i="31"/>
  <c r="I38" i="31"/>
  <c r="I39" i="31" s="1"/>
  <c r="M37" i="31"/>
  <c r="M38" i="31"/>
  <c r="M39" i="31" s="1"/>
  <c r="D57" i="25"/>
  <c r="I79" i="31" l="1"/>
  <c r="D21" i="44" s="1"/>
  <c r="D18" i="44"/>
  <c r="M79" i="31"/>
  <c r="H21" i="44" s="1"/>
  <c r="H18" i="44"/>
  <c r="I40" i="31"/>
  <c r="M40" i="31"/>
  <c r="J48" i="31"/>
  <c r="J42" i="31" s="1"/>
  <c r="P48" i="31"/>
  <c r="P42" i="31" s="1"/>
  <c r="Q48" i="31"/>
  <c r="Q42" i="31" s="1"/>
  <c r="K48" i="31"/>
  <c r="K42" i="31" s="1"/>
  <c r="O48" i="31"/>
  <c r="O42" i="31" s="1"/>
  <c r="L48" i="31"/>
  <c r="L42" i="31" s="1"/>
  <c r="N48" i="31"/>
  <c r="N42" i="31" s="1"/>
  <c r="I16" i="31"/>
  <c r="N38" i="31" l="1"/>
  <c r="N39" i="31" s="1"/>
  <c r="N80" i="31"/>
  <c r="L38" i="31"/>
  <c r="L40" i="31" s="1"/>
  <c r="L80" i="31"/>
  <c r="O38" i="31"/>
  <c r="O39" i="31" s="1"/>
  <c r="O80" i="31"/>
  <c r="K38" i="31"/>
  <c r="K39" i="31" s="1"/>
  <c r="K80" i="31"/>
  <c r="Q38" i="31"/>
  <c r="Q39" i="31" s="1"/>
  <c r="Q80" i="31"/>
  <c r="P38" i="31"/>
  <c r="P40" i="31" s="1"/>
  <c r="P80" i="31"/>
  <c r="J38" i="31"/>
  <c r="J39" i="31" s="1"/>
  <c r="J80" i="31"/>
  <c r="J87" i="31" s="1"/>
  <c r="I61" i="31"/>
  <c r="I33" i="31"/>
  <c r="I59" i="31"/>
  <c r="J61" i="31"/>
  <c r="M41" i="31"/>
  <c r="I41" i="31"/>
  <c r="I31" i="31"/>
  <c r="J16" i="31"/>
  <c r="I60" i="31" l="1"/>
  <c r="I68" i="31"/>
  <c r="Q87" i="31"/>
  <c r="K87" i="31"/>
  <c r="L87" i="31"/>
  <c r="P87" i="31"/>
  <c r="O87" i="31"/>
  <c r="N87" i="31"/>
  <c r="J63" i="31"/>
  <c r="E9" i="44" s="1"/>
  <c r="I63" i="31"/>
  <c r="D9" i="44" s="1"/>
  <c r="K40" i="31"/>
  <c r="P39" i="31"/>
  <c r="Q40" i="31"/>
  <c r="L39" i="31"/>
  <c r="J78" i="31"/>
  <c r="K78" i="31"/>
  <c r="O78" i="31"/>
  <c r="L78" i="31"/>
  <c r="N78" i="31"/>
  <c r="O40" i="31"/>
  <c r="N40" i="31"/>
  <c r="P78" i="31"/>
  <c r="K18" i="44" s="1"/>
  <c r="K19" i="44" s="1"/>
  <c r="Q78" i="31"/>
  <c r="L18" i="44" s="1"/>
  <c r="L19" i="44" s="1"/>
  <c r="J40" i="31"/>
  <c r="J33" i="31"/>
  <c r="J59" i="31"/>
  <c r="J68" i="31" s="1"/>
  <c r="I62" i="31"/>
  <c r="P41" i="31"/>
  <c r="L41" i="31"/>
  <c r="J29" i="31"/>
  <c r="J31" i="31"/>
  <c r="Q79" i="31" l="1"/>
  <c r="L21" i="44" s="1"/>
  <c r="L22" i="44" s="1"/>
  <c r="P79" i="31"/>
  <c r="K21" i="44" s="1"/>
  <c r="K22" i="44" s="1"/>
  <c r="I134" i="31"/>
  <c r="D16" i="44"/>
  <c r="D19" i="44" s="1"/>
  <c r="D22" i="44" s="1"/>
  <c r="J134" i="31"/>
  <c r="E16" i="44"/>
  <c r="N79" i="31"/>
  <c r="I21" i="44" s="1"/>
  <c r="I18" i="44"/>
  <c r="L79" i="31"/>
  <c r="G21" i="44" s="1"/>
  <c r="G18" i="44"/>
  <c r="O79" i="31"/>
  <c r="J21" i="44" s="1"/>
  <c r="J18" i="44"/>
  <c r="K79" i="31"/>
  <c r="F21" i="44" s="1"/>
  <c r="F18" i="44"/>
  <c r="J79" i="31"/>
  <c r="E21" i="44" s="1"/>
  <c r="E18" i="44"/>
  <c r="J89" i="31"/>
  <c r="J96" i="31" s="1"/>
  <c r="I64" i="31"/>
  <c r="K41" i="31"/>
  <c r="Q41" i="31"/>
  <c r="I112" i="31"/>
  <c r="I116" i="31" s="1"/>
  <c r="J112" i="31"/>
  <c r="J116" i="31" s="1"/>
  <c r="J41" i="31"/>
  <c r="O41" i="31"/>
  <c r="N41" i="31"/>
  <c r="I89" i="31"/>
  <c r="I96" i="31" s="1"/>
  <c r="I66" i="31"/>
  <c r="J64" i="31"/>
  <c r="J66" i="31"/>
  <c r="K61" i="31"/>
  <c r="J60" i="31"/>
  <c r="J62" i="31"/>
  <c r="K16" i="31"/>
  <c r="E19" i="44" l="1"/>
  <c r="E22" i="44" s="1"/>
  <c r="E23" i="44" s="1"/>
  <c r="K24" i="44"/>
  <c r="K25" i="44" s="1"/>
  <c r="K23" i="44"/>
  <c r="L23" i="44"/>
  <c r="L24" i="44"/>
  <c r="L25" i="44" s="1"/>
  <c r="D23" i="44"/>
  <c r="D24" i="44"/>
  <c r="D25" i="44" s="1"/>
  <c r="K63" i="31"/>
  <c r="F9" i="44" s="1"/>
  <c r="K33" i="31"/>
  <c r="K59" i="31"/>
  <c r="K68" i="31" s="1"/>
  <c r="K29" i="31"/>
  <c r="K31" i="31"/>
  <c r="E24" i="44" l="1"/>
  <c r="E25" i="44" s="1"/>
  <c r="K134" i="31"/>
  <c r="F16" i="44"/>
  <c r="F19" i="44" s="1"/>
  <c r="F22" i="44" s="1"/>
  <c r="K112" i="31"/>
  <c r="K116" i="31" s="1"/>
  <c r="K89" i="31"/>
  <c r="K66" i="31"/>
  <c r="K62" i="31"/>
  <c r="K64" i="31"/>
  <c r="L61" i="31"/>
  <c r="K60" i="31"/>
  <c r="L16" i="31"/>
  <c r="K96" i="31" l="1"/>
  <c r="F23" i="44"/>
  <c r="F24" i="44"/>
  <c r="F25" i="44" s="1"/>
  <c r="L63" i="31"/>
  <c r="G9" i="44" s="1"/>
  <c r="L33" i="31"/>
  <c r="L59" i="31"/>
  <c r="L68" i="31" s="1"/>
  <c r="L29" i="31"/>
  <c r="L31" i="31"/>
  <c r="L134" i="31" l="1"/>
  <c r="G16" i="44"/>
  <c r="G19" i="44" s="1"/>
  <c r="G22" i="44" s="1"/>
  <c r="L112" i="31"/>
  <c r="L116" i="31" s="1"/>
  <c r="L89" i="31"/>
  <c r="L96" i="31" s="1"/>
  <c r="L66" i="31"/>
  <c r="L62" i="31"/>
  <c r="L64" i="31"/>
  <c r="M61" i="31"/>
  <c r="L60" i="31"/>
  <c r="M16" i="31"/>
  <c r="G23" i="44" l="1"/>
  <c r="G24" i="44"/>
  <c r="G25" i="44" s="1"/>
  <c r="M63" i="31"/>
  <c r="H9" i="44" s="1"/>
  <c r="M33" i="31"/>
  <c r="M59" i="31"/>
  <c r="M68" i="31" s="1"/>
  <c r="M29" i="31"/>
  <c r="M31" i="31"/>
  <c r="M134" i="31" l="1"/>
  <c r="H16" i="44"/>
  <c r="H19" i="44" s="1"/>
  <c r="H22" i="44" s="1"/>
  <c r="M112" i="31"/>
  <c r="M116" i="31" s="1"/>
  <c r="M89" i="31"/>
  <c r="M96" i="31" s="1"/>
  <c r="M66" i="31"/>
  <c r="M62" i="31"/>
  <c r="M64" i="31"/>
  <c r="M60" i="31"/>
  <c r="N16" i="31"/>
  <c r="H23" i="44" l="1"/>
  <c r="H24" i="44"/>
  <c r="H25" i="44" s="1"/>
  <c r="N63" i="31"/>
  <c r="I9" i="44" s="1"/>
  <c r="N33" i="31"/>
  <c r="N59" i="31"/>
  <c r="N68" i="31" s="1"/>
  <c r="N29" i="31"/>
  <c r="N31" i="31"/>
  <c r="N134" i="31" l="1"/>
  <c r="I16" i="44"/>
  <c r="I19" i="44" s="1"/>
  <c r="I22" i="44" s="1"/>
  <c r="N112" i="31"/>
  <c r="N116" i="31" s="1"/>
  <c r="N89" i="31"/>
  <c r="N96" i="31" s="1"/>
  <c r="N66" i="31"/>
  <c r="N62" i="31"/>
  <c r="N64" i="31"/>
  <c r="N60" i="31"/>
  <c r="O16" i="31"/>
  <c r="I24" i="44" l="1"/>
  <c r="I25" i="44" s="1"/>
  <c r="I23" i="44"/>
  <c r="O33" i="31"/>
  <c r="O59" i="31"/>
  <c r="O68" i="31" s="1"/>
  <c r="O29" i="31"/>
  <c r="O31" i="31"/>
  <c r="J16" i="44" l="1"/>
  <c r="J19" i="44" s="1"/>
  <c r="J22" i="44" s="1"/>
  <c r="O134" i="31"/>
  <c r="O112" i="31"/>
  <c r="O116" i="31" s="1"/>
  <c r="O89" i="31"/>
  <c r="O96" i="31" s="1"/>
  <c r="O66" i="31"/>
  <c r="O62" i="31"/>
  <c r="O64" i="31"/>
  <c r="O60" i="31"/>
  <c r="J24" i="44" l="1"/>
  <c r="J25" i="44" s="1"/>
  <c r="J23" i="44"/>
  <c r="P16" i="31"/>
  <c r="P33" i="31" l="1"/>
  <c r="P59" i="31"/>
  <c r="P68" i="31" s="1"/>
  <c r="P29" i="31"/>
  <c r="P31" i="31"/>
  <c r="Q16" i="31"/>
  <c r="P134" i="31" l="1"/>
  <c r="P112" i="31"/>
  <c r="P116" i="31" s="1"/>
  <c r="P89" i="31"/>
  <c r="P96" i="31" s="1"/>
  <c r="P64" i="31"/>
  <c r="P66" i="31"/>
  <c r="P62" i="31"/>
  <c r="Q33" i="31"/>
  <c r="Q59" i="31"/>
  <c r="P60" i="31"/>
  <c r="Q29" i="31"/>
  <c r="Q31" i="31"/>
  <c r="R60" i="31" l="1"/>
  <c r="Q68" i="31"/>
  <c r="Q134" i="31"/>
  <c r="Q112" i="31"/>
  <c r="Q116" i="31" s="1"/>
  <c r="Q89" i="31"/>
  <c r="Q96" i="31" s="1"/>
  <c r="Q64" i="31"/>
  <c r="Q66" i="31"/>
  <c r="Q60" i="31"/>
  <c r="Q6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<sst xmlns="http://schemas.openxmlformats.org/spreadsheetml/2006/main" count="1301" uniqueCount="469">
  <si>
    <t>Revenue</t>
  </si>
  <si>
    <t>Adjusted EBITDA</t>
  </si>
  <si>
    <t>Assets</t>
  </si>
  <si>
    <t>Goodwill</t>
  </si>
  <si>
    <t>Derivatives</t>
  </si>
  <si>
    <t>Total</t>
  </si>
  <si>
    <t>Inventories</t>
  </si>
  <si>
    <t>Adjacencies</t>
  </si>
  <si>
    <t>Retirement of assets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</si>
  <si>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</si>
  <si>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</si>
  <si>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</si>
  <si>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</si>
  <si>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</si>
  <si>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</si>
  <si>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</si>
  <si>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</si>
  <si>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</si>
  <si>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</si>
  <si>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</si>
  <si>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Depreciation and amortisation</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</si>
  <si>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</si>
  <si>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</si>
  <si>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</si>
  <si>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</si>
  <si>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</si>
  <si>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</si>
  <si>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</si>
  <si>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</si>
  <si>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</si>
  <si>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EUR thousand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</si>
  <si>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</si>
  <si>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</si>
  <si>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</si>
  <si>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</si>
  <si>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</si>
  <si>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</si>
  <si>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</si>
  <si>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</si>
  <si>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</si>
  <si>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</si>
  <si>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</si>
  <si>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</si>
  <si>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</si>
  <si>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</si>
  <si>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</si>
  <si>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</si>
  <si>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</si>
  <si>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</si>
  <si>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</si>
  <si>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</si>
  <si>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</si>
  <si>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</si>
  <si>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</si>
  <si>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</si>
  <si>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</si>
  <si>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</si>
  <si>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</si>
  <si>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</si>
  <si>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</si>
  <si>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</si>
  <si>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</si>
  <si>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</si>
  <si>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</si>
  <si>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</si>
  <si>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</si>
  <si>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</si>
  <si>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</si>
  <si>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</si>
  <si>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</si>
  <si>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</si>
  <si>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</si>
  <si>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</si>
  <si>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</si>
  <si>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</si>
  <si>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</si>
  <si>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</si>
  <si>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</si>
  <si>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</si>
  <si>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</si>
  <si>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</si>
  <si>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</si>
  <si>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</si>
  <si>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</si>
  <si>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</si>
  <si>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</si>
  <si>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</si>
  <si>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</si>
  <si>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</si>
  <si>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Quarterly attrition rate (annualized)</t>
  </si>
  <si>
    <t>Cancellations</t>
  </si>
  <si>
    <t>Total number of new subscribers added.</t>
  </si>
  <si>
    <t>Notes:</t>
  </si>
  <si>
    <t>Definitions of Key Metrics</t>
  </si>
  <si>
    <t>This segment mainly represents the sale of remote monitoring and assistance devices and services for senior citizens, as well as the sale of Arlo cameras and video surveillance services in retail and online channels across Europe.</t>
  </si>
  <si>
    <t>Operating Segments</t>
  </si>
  <si>
    <t>Number of terminated subscriptions to our monitoring service in the quarter, annualized and divided by the average number of subscribers in the quarter.</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</si>
  <si>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</si>
  <si>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</si>
  <si>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</si>
  <si>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</si>
  <si>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</si>
  <si>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</si>
  <si>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Reversal of depreciation and amortisation</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</si>
  <si>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</si>
  <si>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</si>
  <si>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</si>
  <si>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</si>
  <si>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</si>
  <si>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</si>
  <si>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</si>
  <si>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</si>
  <si>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</si>
  <si>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</si>
  <si>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</si>
  <si>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</si>
  <si>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</si>
  <si>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</si>
  <si>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</si>
  <si>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</si>
  <si>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</si>
  <si>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</si>
  <si>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</si>
  <si>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</si>
  <si>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</si>
  <si>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</si>
  <si>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</si>
  <si>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</si>
  <si>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</si>
  <si>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</si>
  <si>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</si>
  <si>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</si>
  <si>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</si>
  <si>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</si>
  <si>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</si>
  <si>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</si>
  <si>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</si>
  <si>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</si>
  <si>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</si>
  <si>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</si>
  <si>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</si>
  <si>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</si>
  <si>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</si>
  <si>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</si>
  <si>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</si>
  <si>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</si>
  <si>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</si>
  <si>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</si>
  <si>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</si>
  <si>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</si>
  <si>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</si>
  <si>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</si>
  <si>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</si>
  <si>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</si>
  <si>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</si>
  <si>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</si>
  <si>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</si>
  <si>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</si>
  <si>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</si>
  <si>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</si>
  <si>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</si>
  <si>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</si>
  <si>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</si>
  <si>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</si>
  <si>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</si>
  <si>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</si>
  <si>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</si>
  <si>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</si>
  <si>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</si>
  <si>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</si>
  <si>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</si>
  <si>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</si>
  <si>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</si>
  <si>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</si>
  <si>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</si>
  <si>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</si>
  <si>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</si>
  <si>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</si>
  <si>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D&amp;A and retirement of assets</t>
  </si>
  <si>
    <t>Adjusted pre-tax unlevered free cash flow</t>
  </si>
  <si>
    <t>Adjusted unlevered free cash flow</t>
  </si>
  <si>
    <t>Reported D&amp;A</t>
  </si>
  <si>
    <t>Reported D&amp;A and retirement of assets</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</si>
  <si>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</si>
  <si>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</si>
  <si>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</si>
  <si>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</si>
  <si>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</si>
  <si>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</si>
  <si>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</si>
  <si>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</si>
  <si>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</si>
  <si>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</si>
  <si>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</si>
  <si>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</si>
  <si>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</si>
  <si>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</si>
  <si>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</si>
  <si>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</si>
  <si>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</si>
  <si>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</si>
  <si>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r>
      <t xml:space="preserve">Annualised reccurring revenue (ARR) </t>
    </r>
    <r>
      <rPr>
        <vertAlign val="superscript"/>
        <sz val="9"/>
        <color theme="1"/>
        <rFont val="Calibri"/>
        <family val="2"/>
        <scheme val="minor"/>
      </rPr>
      <t>(1)</t>
    </r>
  </si>
  <si>
    <t>1) Annualised recurring revenue defined as Total Subscribers EoP * ARPU * 12. ARPU is primarily recurring subscription fees, plus a small element of additional services to existing customers.</t>
  </si>
  <si>
    <t>Q4 2024</t>
  </si>
  <si>
    <t>Oct-Dec 24</t>
  </si>
  <si>
    <r>
      <t>Acquisition multiple</t>
    </r>
    <r>
      <rPr>
        <vertAlign val="superscript"/>
        <sz val="9"/>
        <color theme="1"/>
        <rFont val="Calibri"/>
        <family val="2"/>
        <scheme val="minor"/>
      </rPr>
      <t xml:space="preserve"> (3)</t>
    </r>
  </si>
  <si>
    <t>Acquisition multiple</t>
  </si>
  <si>
    <r>
      <t xml:space="preserve">Change in trade receivables </t>
    </r>
    <r>
      <rPr>
        <vertAlign val="superscript"/>
        <sz val="9"/>
        <color theme="1"/>
        <rFont val="Calibri"/>
        <family val="2"/>
        <scheme val="minor"/>
      </rPr>
      <t>(1)</t>
    </r>
  </si>
  <si>
    <r>
      <t xml:space="preserve">Change in other payables </t>
    </r>
    <r>
      <rPr>
        <vertAlign val="superscript"/>
        <sz val="9"/>
        <color theme="1"/>
        <rFont val="Calibri"/>
        <family val="2"/>
        <scheme val="minor"/>
      </rPr>
      <t>(1)</t>
    </r>
  </si>
  <si>
    <r>
      <t xml:space="preserve">Change in borrowings </t>
    </r>
    <r>
      <rPr>
        <vertAlign val="superscript"/>
        <sz val="9"/>
        <color theme="1"/>
        <rFont val="Calibri"/>
        <family val="2"/>
        <scheme val="minor"/>
      </rPr>
      <t>(1)</t>
    </r>
  </si>
  <si>
    <r>
      <t xml:space="preserve">Trade and other receivables </t>
    </r>
    <r>
      <rPr>
        <vertAlign val="superscript"/>
        <sz val="9"/>
        <color rgb="FF000000"/>
        <rFont val="Calibri"/>
        <family val="2"/>
        <scheme val="minor"/>
      </rPr>
      <t>(1)</t>
    </r>
  </si>
  <si>
    <r>
      <t xml:space="preserve">Trade receivables </t>
    </r>
    <r>
      <rPr>
        <vertAlign val="superscript"/>
        <sz val="9"/>
        <color rgb="FF000000"/>
        <rFont val="Calibri"/>
        <family val="2"/>
        <scheme val="minor"/>
      </rPr>
      <t>(1)</t>
    </r>
  </si>
  <si>
    <r>
      <t xml:space="preserve">Prepayments and accrued income </t>
    </r>
    <r>
      <rPr>
        <vertAlign val="superscript"/>
        <sz val="9"/>
        <color rgb="FF000000"/>
        <rFont val="Calibri"/>
        <family val="2"/>
        <scheme val="minor"/>
      </rPr>
      <t>(1)</t>
    </r>
  </si>
  <si>
    <r>
      <t xml:space="preserve">Long-term borrowings </t>
    </r>
    <r>
      <rPr>
        <vertAlign val="superscript"/>
        <sz val="9"/>
        <color rgb="FF000000"/>
        <rFont val="Calibri"/>
        <family val="2"/>
        <scheme val="minor"/>
      </rPr>
      <t>(1)</t>
    </r>
  </si>
  <si>
    <r>
      <t xml:space="preserve">Other non-current liabilities </t>
    </r>
    <r>
      <rPr>
        <vertAlign val="superscript"/>
        <sz val="9"/>
        <color rgb="FF000000"/>
        <rFont val="Calibri"/>
        <family val="2"/>
        <scheme val="minor"/>
      </rPr>
      <t>(1)</t>
    </r>
  </si>
  <si>
    <r>
      <t xml:space="preserve">Short-term borrowings </t>
    </r>
    <r>
      <rPr>
        <vertAlign val="superscript"/>
        <sz val="9"/>
        <color rgb="FF000000"/>
        <rFont val="Calibri"/>
        <family val="2"/>
        <scheme val="minor"/>
      </rPr>
      <t>(1)</t>
    </r>
  </si>
  <si>
    <r>
      <t xml:space="preserve">Accrued expenses and deferred income </t>
    </r>
    <r>
      <rPr>
        <vertAlign val="superscript"/>
        <sz val="9"/>
        <color rgb="FF000000"/>
        <rFont val="Calibri"/>
        <family val="2"/>
        <scheme val="minor"/>
      </rPr>
      <t>(1)</t>
    </r>
  </si>
  <si>
    <t>Operating Profit</t>
  </si>
  <si>
    <t>Operating Profit margin, %</t>
  </si>
  <si>
    <t>1)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</si>
  <si>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Cash flow from change in working capital </t>
    </r>
    <r>
      <rPr>
        <i/>
        <vertAlign val="superscript"/>
        <sz val="9"/>
        <color theme="1"/>
        <rFont val="Calibri"/>
        <family val="2"/>
        <scheme val="minor"/>
      </rPr>
      <t>(1)</t>
    </r>
  </si>
  <si>
    <r>
      <t xml:space="preserve">Cash flow from operating activities </t>
    </r>
    <r>
      <rPr>
        <b/>
        <vertAlign val="superscript"/>
        <sz val="9"/>
        <color theme="1"/>
        <rFont val="Calibri"/>
        <family val="2"/>
        <scheme val="minor"/>
      </rPr>
      <t>(1)</t>
    </r>
  </si>
  <si>
    <r>
      <t xml:space="preserve">Cash flow from financing activities </t>
    </r>
    <r>
      <rPr>
        <b/>
        <vertAlign val="superscript"/>
        <sz val="9"/>
        <color theme="1"/>
        <rFont val="Calibri"/>
        <family val="2"/>
        <scheme val="minor"/>
      </rPr>
      <t>(1)</t>
    </r>
  </si>
  <si>
    <r>
      <t xml:space="preserve">Total non-current assets </t>
    </r>
    <r>
      <rPr>
        <b/>
        <vertAlign val="superscript"/>
        <sz val="9"/>
        <color rgb="FF000000"/>
        <rFont val="Calibri"/>
        <family val="2"/>
        <scheme val="minor"/>
      </rPr>
      <t>(1)</t>
    </r>
  </si>
  <si>
    <r>
      <t xml:space="preserve">Total current assets </t>
    </r>
    <r>
      <rPr>
        <b/>
        <vertAlign val="superscript"/>
        <sz val="9"/>
        <color rgb="FF000000"/>
        <rFont val="Calibri"/>
        <family val="2"/>
        <scheme val="minor"/>
      </rPr>
      <t>(1)</t>
    </r>
  </si>
  <si>
    <r>
      <t xml:space="preserve">Total current liabilities </t>
    </r>
    <r>
      <rPr>
        <b/>
        <vertAlign val="superscript"/>
        <sz val="9"/>
        <color rgb="FF000000"/>
        <rFont val="Calibri"/>
        <family val="2"/>
        <scheme val="minor"/>
      </rPr>
      <t>(1)</t>
    </r>
  </si>
  <si>
    <r>
      <t xml:space="preserve">Total non-current liabilities </t>
    </r>
    <r>
      <rPr>
        <b/>
        <vertAlign val="superscript"/>
        <sz val="9"/>
        <color rgb="FF000000"/>
        <rFont val="Calibri"/>
        <family val="2"/>
        <scheme val="minor"/>
      </rPr>
      <t>(1)</t>
    </r>
  </si>
  <si>
    <r>
      <t xml:space="preserve">Total assets </t>
    </r>
    <r>
      <rPr>
        <b/>
        <vertAlign val="superscript"/>
        <sz val="9"/>
        <color rgb="FF000000"/>
        <rFont val="Calibri"/>
        <family val="2"/>
        <scheme val="minor"/>
      </rPr>
      <t>(1)</t>
    </r>
  </si>
  <si>
    <r>
      <t xml:space="preserve">Total liabilities </t>
    </r>
    <r>
      <rPr>
        <b/>
        <vertAlign val="superscript"/>
        <sz val="9"/>
        <color rgb="FF000000"/>
        <rFont val="Calibri"/>
        <family val="2"/>
        <scheme val="minor"/>
      </rPr>
      <t>(1)</t>
    </r>
  </si>
  <si>
    <r>
      <t xml:space="preserve">Total equity and liabilities </t>
    </r>
    <r>
      <rPr>
        <b/>
        <vertAlign val="superscript"/>
        <sz val="9"/>
        <color rgb="FF000000"/>
        <rFont val="Calibri"/>
        <family val="2"/>
        <scheme val="minor"/>
      </rPr>
      <t>(1)</t>
    </r>
  </si>
  <si>
    <r>
      <t xml:space="preserve">Trade Receivables </t>
    </r>
    <r>
      <rPr>
        <vertAlign val="superscript"/>
        <sz val="9"/>
        <color theme="1"/>
        <rFont val="Calibri"/>
        <family val="2"/>
        <scheme val="minor"/>
      </rPr>
      <t>(2)</t>
    </r>
  </si>
  <si>
    <r>
      <t xml:space="preserve">Other Prepayments and Deferrals </t>
    </r>
    <r>
      <rPr>
        <vertAlign val="superscript"/>
        <sz val="9"/>
        <color theme="1"/>
        <rFont val="Calibri"/>
        <family val="2"/>
        <scheme val="minor"/>
      </rPr>
      <t>(4)</t>
    </r>
  </si>
  <si>
    <r>
      <t xml:space="preserve">Financial liability:  Factoring balance </t>
    </r>
    <r>
      <rPr>
        <vertAlign val="superscript"/>
        <sz val="9"/>
        <color theme="1"/>
        <rFont val="Calibri"/>
        <family val="2"/>
        <scheme val="minor"/>
      </rPr>
      <t>(3)</t>
    </r>
  </si>
  <si>
    <t xml:space="preserve">3) Restated amount in the Balance Sheet under "Long-term borrowings" and "Short-term borrowings". </t>
  </si>
  <si>
    <t>Memo:  Factoring Agreement</t>
  </si>
  <si>
    <r>
      <t xml:space="preserve">Cash flow from financing activities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</si>
  <si>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(2)</t>
    </r>
  </si>
  <si>
    <t>3) Acquisition multiple represents the ratio between the initial capital investment made to acquire a new customer, and the annualised adjusted EBITDA per subscriber. It is calculated as CPA divided by EPC, divided by 12.</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</si>
  <si>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</si>
  <si>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</si>
  <si>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</si>
  <si>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</si>
  <si>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</si>
  <si>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Adjusted EBITDA incl. SDIs</t>
  </si>
  <si>
    <t>Adjusted EBITDA margin incl. SDIs</t>
  </si>
  <si>
    <t>Earnings before interests and taxes.</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</si>
  <si>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</si>
  <si>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</si>
  <si>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</si>
  <si>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</si>
  <si>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</si>
  <si>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</si>
  <si>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</si>
  <si>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</si>
  <si>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</si>
  <si>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</si>
  <si>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</si>
  <si>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</si>
  <si>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</si>
  <si>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</si>
  <si>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</si>
  <si>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</si>
  <si>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</si>
  <si>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</si>
  <si>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</si>
  <si>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</si>
  <si>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</si>
  <si>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</si>
  <si>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</si>
  <si>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</si>
  <si>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</si>
  <si>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</si>
  <si>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</si>
  <si>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</si>
  <si>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</si>
  <si>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</si>
  <si>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</si>
  <si>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</si>
  <si>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Capital Employed</t>
  </si>
  <si>
    <t>Q1 2025</t>
  </si>
  <si>
    <t>Jan-Mar 25</t>
  </si>
  <si>
    <t>2) Restated amount in the Cash Flow under "Cash flow from change in working capital" (change in trade receivables and change in other payables).  From Q1 2025 onwards the Company does not track this concept.</t>
  </si>
  <si>
    <t>3) Restated amount in the Cash Flow under "Cash flow from financing activities".  From Q1 2025 onwards the Company does not track this concept.</t>
  </si>
  <si>
    <t>4) Restated amount in the Balance Sheet under "Prepayments and accrued income", "Other non-current liabilities" and "Accrued expenses and deferred income". From Q1 2025 onwards the Company does not track this concept.</t>
  </si>
  <si>
    <t>Income statement: IFRS</t>
  </si>
  <si>
    <r>
      <t>Memo:  Intangibles related to the acquisition of Securitas Direct AB in 2011 (for Midholding) and to 2020 Group restructuring (for Topholding)</t>
    </r>
    <r>
      <rPr>
        <i/>
        <vertAlign val="superscript"/>
        <sz val="9"/>
        <color theme="1"/>
        <rFont val="Calibri"/>
        <family val="2"/>
        <scheme val="minor"/>
      </rPr>
      <t xml:space="preserve"> (5)</t>
    </r>
  </si>
  <si>
    <t>(-) Goodwill related to 2020 corporate reorganisation</t>
  </si>
  <si>
    <t>(-) Intangibles related to 2020 corporate reorganisation</t>
  </si>
  <si>
    <t>5)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</si>
  <si>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t>Reporting Entity</t>
  </si>
  <si>
    <t>Reported EBITDA margin, %</t>
  </si>
  <si>
    <t>2) Restated amount in the Balance Sheet under "Trade and other receivables" and "Trade receivables", which conists of trade receivables and long-term prepaid interest expense from the factoring agreement.</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</si>
  <si>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</si>
  <si>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</si>
  <si>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</si>
  <si>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</si>
  <si>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</si>
  <si>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</si>
  <si>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Other corporate capex </t>
    </r>
    <r>
      <rPr>
        <vertAlign val="superscript"/>
        <sz val="9"/>
        <color theme="1"/>
        <rFont val="Calibri"/>
        <family val="2"/>
        <scheme val="minor"/>
      </rPr>
      <t>(3)</t>
    </r>
  </si>
  <si>
    <t>2) Annualised recurring revenue defined as Total Subscribers EoP * ARPU * 12. ARPU is primarily recurring subscription fees, plus a small element of additional services to existing customers.</t>
  </si>
  <si>
    <t>4) Acquisition multiple represents the ratio between the initial capital investment made to acquire a new customer, and the annualised adjusted EBITDA per subscriber. It is calculated as CPA divided by EPC, divided by 12.</t>
  </si>
  <si>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</si>
  <si>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</si>
  <si>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</si>
  <si>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</si>
  <si>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t>6)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</si>
  <si>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</si>
  <si>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</si>
  <si>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</si>
  <si>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</si>
  <si>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</si>
  <si>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</si>
  <si>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</si>
  <si>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</si>
  <si>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</si>
  <si>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</si>
  <si>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</si>
  <si>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</si>
  <si>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</si>
  <si>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</si>
  <si>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t>3) Restated amount in the Cash Flow under "Cash flow from change in working capital" (change in trade receivables and change in other payables).</t>
  </si>
  <si>
    <t>4) Restated amount in the Cash Flow under "Cash flow from financing activities".</t>
  </si>
  <si>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</si>
  <si>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</si>
  <si>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</si>
  <si>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</si>
  <si>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</si>
  <si>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</si>
  <si>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r>
      <t xml:space="preserve">Cash flow from change in working capital </t>
    </r>
    <r>
      <rPr>
        <vertAlign val="superscript"/>
        <sz val="9"/>
        <color theme="1"/>
        <rFont val="Calibri"/>
        <family val="2"/>
        <scheme val="minor"/>
      </rPr>
      <t>(3)</t>
    </r>
  </si>
  <si>
    <r>
      <t xml:space="preserve">Cash flow from financing activities </t>
    </r>
    <r>
      <rPr>
        <vertAlign val="superscript"/>
        <sz val="9"/>
        <color theme="1"/>
        <rFont val="Calibri"/>
        <family val="2"/>
        <scheme val="minor"/>
      </rPr>
      <t>(4)</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</si>
  <si>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</si>
  <si>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</si>
  <si>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</si>
  <si>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</si>
  <si>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</si>
  <si>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r>
      <t xml:space="preserve">SDIs - Retirement of Assets </t>
    </r>
    <r>
      <rPr>
        <vertAlign val="superscript"/>
        <sz val="9"/>
        <rFont val="Calibri"/>
        <family val="2"/>
        <scheme val="minor"/>
      </rPr>
      <t>(3)</t>
    </r>
  </si>
  <si>
    <r>
      <t xml:space="preserve">Adjustment of Acquisition-related items </t>
    </r>
    <r>
      <rPr>
        <vertAlign val="superscript"/>
        <sz val="9"/>
        <color theme="1"/>
        <rFont val="Calibri"/>
        <family val="2"/>
        <scheme val="minor"/>
      </rPr>
      <t>(4)</t>
    </r>
  </si>
  <si>
    <t>Reported Income Statement  |  Quarterly</t>
  </si>
  <si>
    <r>
      <t xml:space="preserve">SDIs - EBITDA add-back </t>
    </r>
    <r>
      <rPr>
        <vertAlign val="superscript"/>
        <sz val="9"/>
        <color theme="1"/>
        <rFont val="Calibri"/>
        <family val="2"/>
        <scheme val="minor"/>
      </rPr>
      <t>(1)</t>
    </r>
  </si>
  <si>
    <r>
      <t xml:space="preserve">SDIs - EBITDA </t>
    </r>
    <r>
      <rPr>
        <vertAlign val="superscript"/>
        <sz val="9"/>
        <rFont val="Calibri"/>
        <family val="2"/>
        <scheme val="minor"/>
      </rPr>
      <t>(1)</t>
    </r>
  </si>
  <si>
    <r>
      <t xml:space="preserve">SDIs - Retirement of Assets </t>
    </r>
    <r>
      <rPr>
        <vertAlign val="superscript"/>
        <sz val="9"/>
        <rFont val="Calibri"/>
        <family val="2"/>
        <scheme val="minor"/>
      </rPr>
      <t>(2)</t>
    </r>
  </si>
  <si>
    <r>
      <t xml:space="preserve">Adjustment of Acquisition-related items </t>
    </r>
    <r>
      <rPr>
        <vertAlign val="superscript"/>
        <sz val="9"/>
        <color theme="1"/>
        <rFont val="Calibri"/>
        <family val="2"/>
        <scheme val="minor"/>
      </rPr>
      <t>(3)</t>
    </r>
  </si>
  <si>
    <t xml:space="preserve">1) SDIs - EBITDA mainly include ongoing transformational projects and restructuring costs. </t>
  </si>
  <si>
    <t>2) SDIs - Retirement of Assets mainly include write-offs of capitalised R&amp;D projects.</t>
  </si>
  <si>
    <t xml:space="preserve">3) Adjustment of acquisition-related items mainly include amortisation of acquisition-related intangible assets, related primarily to the amortisation of the intangible assets recognised after the Group reorganization in 2020. </t>
  </si>
  <si>
    <r>
      <t xml:space="preserve">Right-of-use assets </t>
    </r>
    <r>
      <rPr>
        <vertAlign val="superscript"/>
        <sz val="9"/>
        <color theme="1"/>
        <rFont val="Calibri"/>
        <family val="2"/>
        <scheme val="minor"/>
      </rPr>
      <t>(10)</t>
    </r>
  </si>
  <si>
    <t>Revenue to Operating Profit Bridge |  Annual</t>
  </si>
  <si>
    <t>3) Portfolio services capex included other corporate capex (investments in R&amp;D, IT and premises) until 2017. Other corporate capex is reported separately since 2018.</t>
  </si>
  <si>
    <t>Verisure Group Topholding AB Trending Schedule</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</si>
  <si>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</si>
  <si>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Portfolio services capex </t>
    </r>
    <r>
      <rPr>
        <vertAlign val="superscript"/>
        <sz val="9"/>
        <color theme="1"/>
        <rFont val="Calibri"/>
        <family val="2"/>
        <scheme val="minor"/>
      </rPr>
      <t>(2)</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</si>
  <si>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</si>
  <si>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</si>
  <si>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</si>
  <si>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</si>
  <si>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1) Trending schedule reflects Verisure Midholding AB ("Midholding") figures prior to 2021 and Verisure Group Topholding AB ("Topholding") figures from 2021 onwards. At the end of 2020, Topholding was incorporated and became the new sole shareholder of Midholding .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</si>
  <si>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t>Adjusted operating cash flow before portfolio growth</t>
  </si>
  <si>
    <r>
      <t xml:space="preserve">Amortisation of lease liability </t>
    </r>
    <r>
      <rPr>
        <vertAlign val="superscript"/>
        <sz val="9"/>
        <color theme="1"/>
        <rFont val="Calibri"/>
        <family val="2"/>
        <scheme val="minor"/>
      </rPr>
      <t>(4)</t>
    </r>
  </si>
  <si>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</si>
  <si>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</si>
  <si>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</si>
  <si>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"Long-term borrowings".</t>
  </si>
  <si>
    <t>7) Factoring balance included under "Short-term borrowings".</t>
  </si>
  <si>
    <r>
      <t xml:space="preserve">Long-term borrowings </t>
    </r>
    <r>
      <rPr>
        <vertAlign val="superscript"/>
        <sz val="9"/>
        <rFont val="Calibri"/>
        <family val="2"/>
        <scheme val="minor"/>
      </rPr>
      <t>(7)</t>
    </r>
  </si>
  <si>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</si>
  <si>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</si>
  <si>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</si>
  <si>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</si>
  <si>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Intangibles related to the acquisition of Securitas Direct AB in 2011 (for Midholding) and to 2020 Group restructuring (for Topholding)</t>
    </r>
    <r>
      <rPr>
        <i/>
        <vertAlign val="superscript"/>
        <sz val="9"/>
        <rFont val="Calibri"/>
        <family val="2"/>
        <scheme val="minor"/>
      </rPr>
      <t xml:space="preserve"> (5)</t>
    </r>
  </si>
  <si>
    <r>
      <t>Memo:  Restatement</t>
    </r>
    <r>
      <rPr>
        <i/>
        <sz val="9"/>
        <rFont val="Calibri"/>
        <family val="2"/>
        <scheme val="minor"/>
      </rPr>
      <t xml:space="preserve"> </t>
    </r>
    <r>
      <rPr>
        <i/>
        <vertAlign val="superscript"/>
        <sz val="9"/>
        <rFont val="Calibri"/>
        <family val="2"/>
        <scheme val="minor"/>
      </rPr>
      <t>(2)</t>
    </r>
  </si>
  <si>
    <r>
      <t>Memo:  Restatement</t>
    </r>
    <r>
      <rPr>
        <i/>
        <sz val="9"/>
        <rFont val="Calibri"/>
        <family val="2"/>
        <scheme val="minor"/>
      </rPr>
      <t xml:space="preserve"> </t>
    </r>
    <r>
      <rPr>
        <i/>
        <vertAlign val="superscript"/>
        <sz val="9"/>
        <rFont val="Calibri"/>
        <family val="2"/>
        <scheme val="minor"/>
      </rPr>
      <t>(1)</t>
    </r>
  </si>
  <si>
    <t>8) Factoring balance included under "Short-term borrowings".</t>
  </si>
  <si>
    <r>
      <t xml:space="preserve">Short-term borrowings </t>
    </r>
    <r>
      <rPr>
        <vertAlign val="superscript"/>
        <sz val="9"/>
        <rFont val="Calibri"/>
        <family val="2"/>
        <scheme val="minor"/>
      </rPr>
      <t>(8)</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</si>
  <si>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</si>
  <si>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</si>
  <si>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</si>
  <si>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</si>
  <si>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Annualised Recurring Revenue (ARR)</t>
  </si>
  <si>
    <t>Total number of subscribers in our portfolio at the end of the period, multiplied by the average ARPU over the period, multiplied by 12 months.</t>
  </si>
  <si>
    <t>Earnings before interest, taxes, depreciation and amortisation, write-offs and separately disclosed items.</t>
  </si>
  <si>
    <t>Adjusted EBITDA divided by revenue.</t>
  </si>
  <si>
    <t>Earnings before interest, taxes, depreciation and amortisation and write-offs.</t>
  </si>
  <si>
    <t>Adjusted EBITDA incl. SDIs divided by revenue.</t>
  </si>
  <si>
    <t>Portfolio Services adjusted EBITDA</t>
  </si>
  <si>
    <t xml:space="preserve">Earnings before interest, taxes, depreciation and amortisation, write-offs and separately disclosed items for the Portfolio Service segment. </t>
  </si>
  <si>
    <t>Portfolio Services adjusted EBITDA margin</t>
  </si>
  <si>
    <t>Portfolio Services adjusted EBITDA divided by Portfolio Services revenue.</t>
  </si>
  <si>
    <t xml:space="preserve">Earnings before interest, taxes, excluding acquisition related items and separately disclosed items. Acquisition related items relate to amortisation and depreciation impact in operating profit related to the acquisition in 2020. This impact is excluded from operating profit to better reflect underlying business performance absent the acquisition. </t>
  </si>
  <si>
    <t>Adjusted EBIT divided by revenue.</t>
  </si>
  <si>
    <t>Separately disclosed items (SDI)</t>
  </si>
  <si>
    <t xml:space="preserve">Separately disclosed items (SDIs) are income and costs that have been recognised in the consolidated income statement which management believes, due to their nature, collective size or incident, should be disclosed separately to give a more comparable view of the year-on-year financial performance. </t>
  </si>
  <si>
    <t>Adjusted net profit or loss</t>
  </si>
  <si>
    <t xml:space="preserve">Net profit or loss for the period, before acquisition related items and separately disclosed items including tax impact of these components. Acquisition related items relate to amortisation and depreciation impact in net profit related to the acquisition in 2020. </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</si>
  <si>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</si>
  <si>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</si>
  <si>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Cost per Acquisition (CPA)</t>
  </si>
  <si>
    <t>Net cash investment to acquire a subscriber, including costs related to marketing sales process, installation of the alarm system, costs of alarm system products and overhead expenses for the customer acquisition process. The metric is calculated net of revenue from installation fees charged to the subscriber and represents the sum of Adjusted EBITDA plus capital expenditures in our customer acquisition segment on average for every subscriber acquired.</t>
  </si>
  <si>
    <t>Customer Acquisition Capex</t>
  </si>
  <si>
    <t xml:space="preserve">Purchases of equipment for new customers and indirect incremental costs related to the acquisition of customer contracts. </t>
  </si>
  <si>
    <t>Portfolio services segment revenue (consisting of monthly average subscription fees and sales of additional products and services) divided by the average number of subscribers during the relevant period.</t>
  </si>
  <si>
    <t>Monthly Adjusted EBITDA from our existing subscriber portfolio (Adjusted EBITDA from Portfolio Services) divided by the average number of subscribers.</t>
  </si>
  <si>
    <t>EPC Margin</t>
  </si>
  <si>
    <t>Monthly Adjusted EBITDA per customer (EPC) divided by monthly Portfolio Services revenue per customer (ARPU).</t>
  </si>
  <si>
    <t>Initial investment made to acquire a new customer (CPA) divided by the annualised monthly adjusted EBITDA per subscriber (EPC).</t>
  </si>
  <si>
    <t xml:space="preserve">Portfolio Reinvestment Rate </t>
  </si>
  <si>
    <t xml:space="preserve">The ratio of the sum of Customer Acquisition EBITDA and Customer Acquisition Capex to Portfolio Services Adjusted EBITDA and Portfolio Services Capex. </t>
  </si>
  <si>
    <t xml:space="preserve"> Total value of equity and borrowings, adjusted for derivatives related to financing structures, tax assets/liabilities, cash and acquired intangible assets from a corporate transaction in 2020. </t>
  </si>
  <si>
    <t>Return on Capital Employed (ROCE)</t>
  </si>
  <si>
    <t>Adjusted EBIT divided by average capital employed.</t>
  </si>
  <si>
    <t>Q2 2025</t>
  </si>
  <si>
    <t>Apr-Jun 25</t>
  </si>
  <si>
    <t>Updated as of Q2 2025</t>
  </si>
  <si>
    <t>Memo:  Restatement</t>
  </si>
  <si>
    <t>Net profit or loss</t>
  </si>
  <si>
    <t>Income tax expense</t>
  </si>
  <si>
    <t xml:space="preserve">In blue, hard-coded figures </t>
  </si>
  <si>
    <t>Adjusted net profit margin</t>
  </si>
  <si>
    <t>Customer acquisition spend (adjusted EBITDA - capex)</t>
  </si>
  <si>
    <t xml:space="preserve">Total </t>
  </si>
  <si>
    <t>Adjacencies spend (adjusted EBITDA - capex)</t>
  </si>
  <si>
    <t>In green, figures pulled from other tabs</t>
  </si>
  <si>
    <t xml:space="preserve">2) SDIs - EBITDA mainly include one-off transformational projects and restructuring costs. </t>
  </si>
  <si>
    <t>3) SDIs - retirement of assets mainly include write-offs of a capitalised R&amp;D project.</t>
  </si>
  <si>
    <t xml:space="preserve">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</si>
  <si>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</si>
  <si>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SDIs - EBITDA </t>
    </r>
    <r>
      <rPr>
        <vertAlign val="superscript"/>
        <sz val="9"/>
        <rFont val="Calibri"/>
        <family val="2"/>
        <scheme val="minor"/>
      </rPr>
      <t>(9)</t>
    </r>
  </si>
  <si>
    <t>Total revenue</t>
  </si>
  <si>
    <t>Revenue to Operating Profit Bridge |  Quarterly</t>
  </si>
  <si>
    <t>4) The Adjacencies segment mainly represents the sale of remote monitoring and assistance devices and services for senior citizens, as well as the sale of Arlo cameras and video surveillance services in retail and online channels across Europe.</t>
  </si>
  <si>
    <t>5)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"Quarterly BS" for factoring arrangement values.</t>
  </si>
  <si>
    <t>6) Until 2018 operating lease costs were reported as operating expenses above EBITDA. From 2019 onwards, the Group adopted IFRS16 leases. More information can be found in Note 11 of Verisure´s Annual Report.</t>
  </si>
  <si>
    <t>7)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</si>
  <si>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8) SDIs - EBITDA mainly include ongoing transformational projects and restructuring costs. </t>
  </si>
  <si>
    <t>9) SDIs - Retirement of Assets mainly include write-offs of capitalised R&amp;D projects.</t>
  </si>
  <si>
    <t>10) Adjustment of acquisition-related items mainly includes the amortisation of acquired intangible assets recognised after a business combination in December 2020.</t>
  </si>
  <si>
    <t xml:space="preserve">11) SDIs - Financial items mainly include revaluation of financial assets and liabilities and costs associated to changes in our capital structure. </t>
  </si>
  <si>
    <r>
      <t xml:space="preserve">Adjacencies segment </t>
    </r>
    <r>
      <rPr>
        <b/>
        <vertAlign val="superscript"/>
        <sz val="9"/>
        <color rgb="FFC00000"/>
        <rFont val="Calibri"/>
        <family val="2"/>
        <scheme val="minor"/>
      </rPr>
      <t>(4)</t>
    </r>
  </si>
  <si>
    <r>
      <t>Net debt per SFA (excl. IFRS 16)</t>
    </r>
    <r>
      <rPr>
        <vertAlign val="superscript"/>
        <sz val="9"/>
        <color theme="1"/>
        <rFont val="Calibri"/>
        <family val="2"/>
        <scheme val="minor"/>
      </rPr>
      <t xml:space="preserve"> (5)</t>
    </r>
  </si>
  <si>
    <r>
      <t xml:space="preserve">Net debt per SFA (incl. IFRS 16) </t>
    </r>
    <r>
      <rPr>
        <vertAlign val="superscript"/>
        <sz val="9"/>
        <color theme="1"/>
        <rFont val="Calibri"/>
        <family val="2"/>
        <scheme val="minor"/>
      </rPr>
      <t>(5)</t>
    </r>
  </si>
  <si>
    <r>
      <t xml:space="preserve">Total net leverage </t>
    </r>
    <r>
      <rPr>
        <vertAlign val="superscript"/>
        <sz val="9"/>
        <color theme="1"/>
        <rFont val="Calibri"/>
        <family val="2"/>
        <scheme val="minor"/>
      </rPr>
      <t>(5)</t>
    </r>
  </si>
  <si>
    <r>
      <t xml:space="preserve">Amortisation of lease liability </t>
    </r>
    <r>
      <rPr>
        <vertAlign val="superscript"/>
        <sz val="9"/>
        <color theme="1"/>
        <rFont val="Calibri"/>
        <family val="2"/>
        <scheme val="minor"/>
      </rPr>
      <t>(6)</t>
    </r>
  </si>
  <si>
    <r>
      <t xml:space="preserve">Change in working capital </t>
    </r>
    <r>
      <rPr>
        <vertAlign val="superscript"/>
        <sz val="9"/>
        <color theme="1"/>
        <rFont val="Calibri"/>
        <family val="2"/>
        <scheme val="minor"/>
      </rPr>
      <t>(7)</t>
    </r>
  </si>
  <si>
    <r>
      <t xml:space="preserve">Change in borrowings and group contributions (excl. amortisation of lease liability) </t>
    </r>
    <r>
      <rPr>
        <vertAlign val="superscript"/>
        <sz val="9"/>
        <color theme="1"/>
        <rFont val="Calibri"/>
        <family val="2"/>
        <scheme val="minor"/>
      </rPr>
      <t>(6)</t>
    </r>
  </si>
  <si>
    <r>
      <t xml:space="preserve">SDIs - EBITDA </t>
    </r>
    <r>
      <rPr>
        <vertAlign val="superscript"/>
        <sz val="9"/>
        <rFont val="Calibri"/>
        <family val="2"/>
        <scheme val="minor"/>
      </rPr>
      <t>(8)</t>
    </r>
  </si>
  <si>
    <r>
      <t xml:space="preserve">SDIs - Retirement of assets  </t>
    </r>
    <r>
      <rPr>
        <vertAlign val="superscript"/>
        <sz val="9"/>
        <rFont val="Calibri"/>
        <family val="2"/>
        <scheme val="minor"/>
      </rPr>
      <t>(9)</t>
    </r>
  </si>
  <si>
    <r>
      <t xml:space="preserve">Adjustment of acquisition-related Items </t>
    </r>
    <r>
      <rPr>
        <vertAlign val="superscript"/>
        <sz val="9"/>
        <rFont val="Calibri"/>
        <family val="2"/>
        <scheme val="minor"/>
      </rPr>
      <t>(10)</t>
    </r>
  </si>
  <si>
    <r>
      <t xml:space="preserve">SDIs - Financial items </t>
    </r>
    <r>
      <rPr>
        <vertAlign val="superscript"/>
        <sz val="9"/>
        <rFont val="Calibri"/>
        <family val="2"/>
        <scheme val="minor"/>
      </rPr>
      <t>(11)</t>
    </r>
  </si>
  <si>
    <r>
      <t xml:space="preserve">Portfolio reinvestment rate </t>
    </r>
    <r>
      <rPr>
        <vertAlign val="superscript"/>
        <sz val="9"/>
        <color theme="1"/>
        <rFont val="Calibri"/>
        <family val="2"/>
        <scheme val="minor"/>
      </rPr>
      <t>(5)</t>
    </r>
  </si>
  <si>
    <t>5) Portfolio reinvestment rate is defined as customer acquisition spend (customer acquisition EBITDA + customer acquisition capex) / (portfolio services adjusted EBITDA – portfolio services capex).</t>
  </si>
  <si>
    <t>6) The Adjacencies segment mainly represents the sale of remote monitoring and assistance devices and services for senior citizens, as well as the sale of Arlo cameras and video surveillance services in retail and online channels across Europe.</t>
  </si>
  <si>
    <t>7)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"Annual BS" for factoring arrangement values.</t>
  </si>
  <si>
    <t>8) Until 2018 operating lease costs were reported as operating expenses above EBITDA. From 2019 onwards, the Group adopted IFRS16 leases. More information can be found in Note 11 of Verisure´s Midholding Annual Report.</t>
  </si>
  <si>
    <t>9)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</si>
  <si>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10) SDIs - EBITDA mainly include ongoing transformational projects and restructuring costs. </t>
  </si>
  <si>
    <t>11) SDIs - Retirement of Assets mainly include write-offs of capitalised R&amp;D projects.</t>
  </si>
  <si>
    <t>12)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</si>
  <si>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13) SDIs - Financial items mainly include revaluation of financial assets and liabilities and costs associated to changes in our capital structure. SDIs - Financial items started to be reported in 2017.</t>
  </si>
  <si>
    <r>
      <t xml:space="preserve">Adjacencies segment </t>
    </r>
    <r>
      <rPr>
        <b/>
        <vertAlign val="superscript"/>
        <sz val="9"/>
        <color rgb="FFC00000"/>
        <rFont val="Calibri"/>
        <family val="2"/>
        <scheme val="minor"/>
      </rPr>
      <t>(6)</t>
    </r>
  </si>
  <si>
    <r>
      <t>Net debt per SFA (excl. IFRS 16)</t>
    </r>
    <r>
      <rPr>
        <vertAlign val="superscript"/>
        <sz val="9"/>
        <color theme="1"/>
        <rFont val="Calibri"/>
        <family val="2"/>
        <scheme val="minor"/>
      </rPr>
      <t xml:space="preserve"> (7)</t>
    </r>
  </si>
  <si>
    <r>
      <t xml:space="preserve">Net debt per SFA (incl. IFRS 16) </t>
    </r>
    <r>
      <rPr>
        <vertAlign val="superscript"/>
        <sz val="9"/>
        <color theme="1"/>
        <rFont val="Calibri"/>
        <family val="2"/>
        <scheme val="minor"/>
      </rPr>
      <t>(7)</t>
    </r>
  </si>
  <si>
    <r>
      <t xml:space="preserve">Total net leverage </t>
    </r>
    <r>
      <rPr>
        <vertAlign val="superscript"/>
        <sz val="9"/>
        <color theme="1"/>
        <rFont val="Calibri"/>
        <family val="2"/>
        <scheme val="minor"/>
      </rPr>
      <t>(7)</t>
    </r>
  </si>
  <si>
    <r>
      <t xml:space="preserve">Amortisation of lease liability </t>
    </r>
    <r>
      <rPr>
        <vertAlign val="superscript"/>
        <sz val="9"/>
        <color theme="1"/>
        <rFont val="Calibri"/>
        <family val="2"/>
        <scheme val="minor"/>
      </rPr>
      <t>(8)</t>
    </r>
  </si>
  <si>
    <r>
      <t xml:space="preserve">Change in working capital </t>
    </r>
    <r>
      <rPr>
        <vertAlign val="superscript"/>
        <sz val="9"/>
        <color theme="1"/>
        <rFont val="Calibri"/>
        <family val="2"/>
        <scheme val="minor"/>
      </rPr>
      <t>(9)</t>
    </r>
  </si>
  <si>
    <r>
      <t xml:space="preserve">Change in borrowings and group contributions (excl. amortisation of lease liability) </t>
    </r>
    <r>
      <rPr>
        <vertAlign val="superscript"/>
        <sz val="9"/>
        <color theme="1"/>
        <rFont val="Calibri"/>
        <family val="2"/>
        <scheme val="minor"/>
      </rPr>
      <t>(8)</t>
    </r>
  </si>
  <si>
    <r>
      <t xml:space="preserve">SDIs - EBITDA </t>
    </r>
    <r>
      <rPr>
        <vertAlign val="superscript"/>
        <sz val="9"/>
        <rFont val="Calibri"/>
        <family val="2"/>
        <scheme val="minor"/>
      </rPr>
      <t>(10)</t>
    </r>
  </si>
  <si>
    <r>
      <t xml:space="preserve">SDIs - Retirement of assets  </t>
    </r>
    <r>
      <rPr>
        <vertAlign val="superscript"/>
        <sz val="9"/>
        <rFont val="Calibri"/>
        <family val="2"/>
        <scheme val="minor"/>
      </rPr>
      <t>(11)</t>
    </r>
  </si>
  <si>
    <r>
      <t xml:space="preserve">Adjustment of acquisition-related Items </t>
    </r>
    <r>
      <rPr>
        <vertAlign val="superscript"/>
        <sz val="9"/>
        <rFont val="Calibri"/>
        <family val="2"/>
        <scheme val="minor"/>
      </rPr>
      <t>(12)</t>
    </r>
  </si>
  <si>
    <r>
      <t xml:space="preserve">SDIs - Financial items </t>
    </r>
    <r>
      <rPr>
        <vertAlign val="superscript"/>
        <sz val="9"/>
        <rFont val="Calibri"/>
        <family val="2"/>
        <scheme val="minor"/>
      </rPr>
      <t>(13)</t>
    </r>
  </si>
  <si>
    <r>
      <t xml:space="preserve">Right-of-use assets </t>
    </r>
    <r>
      <rPr>
        <vertAlign val="superscript"/>
        <sz val="9"/>
        <color theme="1"/>
        <rFont val="Calibri"/>
        <family val="2"/>
        <scheme val="minor"/>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</si>
</sst>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_-* #,##0\ _€_-;\-* #,##0\ _€_-;_-* &quot;-&quot;\ _€_-;_-@_-"/>
    <numFmt numFmtId="167" formatCode="_-* #,##0.00\ _€_-;\-* #,##0.00\ _€_-;_-* &quot;-&quot;??\ _€_-;_-@_-"/>
    <numFmt numFmtId="168" formatCode="* #,##0_);* \(#,##0\);&quot;-&quot;??_);@"/>
    <numFmt numFmtId="169" formatCode="* \(#,##0\);* #,##0_);&quot;-&quot;??_);@"/>
    <numFmt numFmtId="170" formatCode="#,##0.0;\(#,##0.0\);&quot;--&quot;"/>
    <numFmt numFmtId="171" formatCode="0.0\x"/>
    <numFmt numFmtId="172" formatCode="#,###;\(#,###\)"/>
    <numFmt numFmtId="173" formatCode="#,##0;\(#,##0\)"/>
    <numFmt numFmtId="174" formatCode="#,##0;\(#,##0\);\-"/>
    <numFmt numFmtId="175" formatCode="#,##0_);\(#,##0\);&quot;–&quot;_);@_)"/>
    <numFmt numFmtId="176" formatCode="#,##0%_);\(#,##0%\);&quot;–&quot;_);@_)"/>
    <numFmt numFmtId="177" formatCode="#,##0.0%_);\(#,##0.0%\);&quot;–&quot;_);@_)"/>
    <numFmt numFmtId="178" formatCode="#,##0.0_);\(#,##0.0\);&quot;–&quot;_);@_)"/>
    <numFmt numFmtId="179" formatCode="0.0%;\(0.0%;\-"/>
    <numFmt numFmtId="180" formatCode="0.0%;\(0.0%\);\-"/>
    <numFmt numFmtId="181" formatCode="#,##0.000;\(#,##0.000\);\-"/>
    <numFmt numFmtId="182" formatCode="#,##0.0;\(#,##0.0\);\-"/>
    <numFmt numFmtId="183" formatCode="0%;\(0%\);\-"/>
    <numFmt numFmtId="184" formatCode="#,##0.000"/>
    <numFmt numFmtId="185" formatCode="_-* #,##0_-;\-* #,##0_-;_-* &quot;-&quot;??_-;_-@_-"/>
    <numFmt numFmtId="186" formatCode="#,##0.00000;\(#,##0.00000\);\-"/>
    <numFmt numFmtId="187" formatCode="_-* #,##0.0000000_-;\-* #,##0.0000000_-;_-* &quot;-&quot;??_-;_-@_-"/>
  </numFmts>
  <fonts count="69"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118">
    <xf numFmtId="0" fontId="0" fillId="0" borderId="0"/>
    <xf numFmtId="0" fontId="3" fillId="0" borderId="0"/>
    <xf numFmtId="0" fontId="2" fillId="0" borderId="0"/>
    <xf numFmtId="0" fontId="2" fillId="0" borderId="0">
      <alignment vertical="center"/>
    </xf>
    <xf numFmtId="9" fontId="2" fillId="0" borderId="0"/>
    <xf numFmtId="44" fontId="2" fillId="0" borderId="0"/>
    <xf numFmtId="42" fontId="2" fillId="0" borderId="0"/>
    <xf numFmtId="43" fontId="2" fillId="0" borderId="0"/>
    <xf numFmtId="41"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7" fillId="0" borderId="0" applyFill="0" applyBorder="0" applyProtection="0"/>
    <xf numFmtId="169" fontId="7" fillId="0" borderId="1" applyFill="0" applyProtection="0"/>
    <xf numFmtId="169" fontId="7" fillId="0" borderId="2" applyFill="0" applyProtection="0"/>
    <xf numFmtId="168" fontId="7" fillId="0" borderId="0" applyFill="0" applyBorder="0" applyProtection="0"/>
    <xf numFmtId="168" fontId="7" fillId="0" borderId="1" applyFill="0" applyProtection="0"/>
    <xf numFmtId="168"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164"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0"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cellStyleXfs>
  <cellXfs count="310">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4"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4" fontId="15" fillId="0" borderId="14" xfId="0" applyNumberFormat="1" applyFont="1" applyBorder="1" applyAlignment="1">
      <alignment horizontal="right" vertical="center" wrapText="1"/>
    </xf>
    <xf numFmtId="174" fontId="15" fillId="0" borderId="14" xfId="0" applyNumberFormat="1" applyFont="1" applyBorder="1" applyAlignment="1">
      <alignment horizontal="center" vertical="center" wrapText="1"/>
    </xf>
    <xf numFmtId="174" fontId="16" fillId="0" borderId="14" xfId="0" applyNumberFormat="1" applyFont="1" applyBorder="1" applyAlignment="1">
      <alignment horizontal="right" vertical="center" wrapText="1"/>
    </xf>
    <xf numFmtId="174" fontId="15" fillId="0" borderId="14" xfId="0" applyNumberFormat="1" applyFont="1" applyBorder="1" applyAlignment="1">
      <alignment vertical="center"/>
    </xf>
    <xf numFmtId="174"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5" fontId="16" fillId="0" borderId="14" xfId="0" applyNumberFormat="1" applyFont="1" applyBorder="1" applyAlignment="1">
      <alignment vertical="center"/>
    </xf>
    <xf numFmtId="0" fontId="15" fillId="0" borderId="14" xfId="0" applyFont="1" applyBorder="1" applyAlignment="1">
      <alignment horizontal="center" vertical="center"/>
    </xf>
    <xf numFmtId="175" fontId="15" fillId="0" borderId="14" xfId="0" applyNumberFormat="1" applyFont="1" applyBorder="1" applyAlignment="1">
      <alignment vertical="center"/>
    </xf>
    <xf numFmtId="0" fontId="17" fillId="0" borderId="0" xfId="0" applyFont="1" applyAlignment="1">
      <alignment vertical="center"/>
    </xf>
    <xf numFmtId="178" fontId="22" fillId="0" borderId="14" xfId="0" applyNumberFormat="1" applyFont="1" applyBorder="1" applyAlignment="1">
      <alignment vertical="center"/>
    </xf>
    <xf numFmtId="0" fontId="17" fillId="3" borderId="14" xfId="0" applyFont="1" applyFill="1" applyBorder="1" applyAlignment="1">
      <alignment vertical="center"/>
    </xf>
    <xf numFmtId="175"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1"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77" fontId="15" fillId="0" borderId="14" xfId="0" applyNumberFormat="1" applyFont="1" applyBorder="1" applyAlignment="1">
      <alignment horizontal="right" vertical="center"/>
    </xf>
    <xf numFmtId="179"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4" fontId="16" fillId="0" borderId="14" xfId="0" applyNumberFormat="1" applyFont="1" applyBorder="1" applyAlignment="1">
      <alignment horizontal="right" vertical="center"/>
    </xf>
    <xf numFmtId="180" fontId="15" fillId="0" borderId="14" xfId="0" applyNumberFormat="1" applyFont="1" applyBorder="1" applyAlignment="1">
      <alignment vertical="center"/>
    </xf>
    <xf numFmtId="165" fontId="15" fillId="0" borderId="0" xfId="0" applyNumberFormat="1" applyFont="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4" fontId="16" fillId="0" borderId="16" xfId="0" applyNumberFormat="1" applyFont="1" applyBorder="1" applyAlignment="1">
      <alignment vertical="center"/>
    </xf>
    <xf numFmtId="0" fontId="18" fillId="0" borderId="0" xfId="0" applyFont="1"/>
    <xf numFmtId="176" fontId="15" fillId="0" borderId="0" xfId="0" applyNumberFormat="1" applyFont="1" applyAlignment="1">
      <alignment vertical="center"/>
    </xf>
    <xf numFmtId="180"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77" fontId="15" fillId="0" borderId="17" xfId="0" applyNumberFormat="1" applyFont="1" applyBorder="1" applyAlignment="1">
      <alignment horizontal="right" vertical="center"/>
    </xf>
    <xf numFmtId="177"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4"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4" fontId="23" fillId="0" borderId="18" xfId="0" applyNumberFormat="1" applyFont="1" applyBorder="1" applyAlignment="1">
      <alignment vertical="center"/>
    </xf>
    <xf numFmtId="174"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5" fontId="25" fillId="0" borderId="0" xfId="0" applyNumberFormat="1" applyFont="1" applyAlignment="1">
      <alignment vertical="center"/>
    </xf>
    <xf numFmtId="0" fontId="23" fillId="0" borderId="0" xfId="0" quotePrefix="1" applyFont="1" applyAlignment="1">
      <alignment horizontal="right"/>
    </xf>
    <xf numFmtId="174"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4" fontId="4" fillId="0" borderId="0" xfId="0" applyNumberFormat="1" applyFont="1"/>
    <xf numFmtId="174" fontId="16" fillId="0" borderId="0" xfId="0" applyNumberFormat="1" applyFont="1" applyAlignment="1">
      <alignment vertical="center"/>
    </xf>
    <xf numFmtId="0" fontId="17" fillId="0" borderId="17" xfId="0" applyFont="1" applyBorder="1" applyAlignment="1">
      <alignment vertical="center"/>
    </xf>
    <xf numFmtId="0" fontId="22" fillId="0" borderId="17" xfId="0" applyFont="1" applyBorder="1" applyAlignment="1">
      <alignment vertical="center"/>
    </xf>
    <xf numFmtId="174" fontId="15" fillId="0" borderId="17" xfId="0" applyNumberFormat="1" applyFont="1" applyBorder="1" applyAlignment="1">
      <alignment vertical="center"/>
    </xf>
    <xf numFmtId="174" fontId="16"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4" fontId="23" fillId="0" borderId="19" xfId="0" applyNumberFormat="1" applyFont="1" applyBorder="1" applyAlignment="1">
      <alignment vertical="center"/>
    </xf>
    <xf numFmtId="0" fontId="24" fillId="0" borderId="19" xfId="0" applyFont="1" applyBorder="1" applyAlignment="1">
      <alignment vertical="center"/>
    </xf>
    <xf numFmtId="174"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4"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77"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4"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4"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4"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4" fontId="23" fillId="0" borderId="0" xfId="0" applyNumberFormat="1" applyFont="1" applyAlignment="1">
      <alignment horizontal="right" vertical="center" wrapText="1"/>
    </xf>
    <xf numFmtId="165" fontId="15" fillId="0" borderId="8" xfId="0" applyNumberFormat="1" applyFont="1" applyBorder="1" applyAlignment="1">
      <alignment horizontal="right" vertical="center" wrapText="1"/>
    </xf>
    <xf numFmtId="172"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172" fontId="15" fillId="0" borderId="0" xfId="0" applyNumberFormat="1" applyFont="1" applyAlignment="1">
      <alignment horizontal="righ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4" fontId="23" fillId="0" borderId="7" xfId="0" applyNumberFormat="1" applyFont="1" applyBorder="1" applyAlignment="1">
      <alignment horizontal="right" vertical="center" wrapText="1"/>
    </xf>
    <xf numFmtId="165" fontId="0" fillId="0" borderId="0" xfId="0" applyNumberFormat="1"/>
    <xf numFmtId="9" fontId="0" fillId="0" borderId="0" xfId="0" applyNumberFormat="1"/>
    <xf numFmtId="173" fontId="15" fillId="0" borderId="5" xfId="0" applyNumberFormat="1" applyFont="1" applyBorder="1" applyAlignment="1">
      <alignment horizontal="right" vertical="center" wrapText="1"/>
    </xf>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4" fontId="15" fillId="0" borderId="11" xfId="0" applyNumberFormat="1" applyFont="1" applyBorder="1" applyAlignment="1">
      <alignment horizontal="right" vertical="center" wrapText="1"/>
    </xf>
    <xf numFmtId="174"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4"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4"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4"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4" fontId="15" fillId="0" borderId="12" xfId="0" applyNumberFormat="1" applyFont="1" applyBorder="1" applyAlignment="1">
      <alignment horizontal="right" vertical="center" wrapText="1"/>
    </xf>
    <xf numFmtId="174" fontId="23" fillId="0" borderId="13" xfId="0" applyNumberFormat="1" applyFont="1" applyBorder="1" applyAlignment="1">
      <alignment horizontal="right" vertical="center" wrapText="1"/>
    </xf>
    <xf numFmtId="174" fontId="15" fillId="0" borderId="0" xfId="0" applyNumberFormat="1" applyFont="1" applyAlignment="1">
      <alignment horizontal="left" vertical="center" wrapText="1"/>
    </xf>
    <xf numFmtId="174"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4" fontId="41" fillId="0" borderId="8" xfId="0" applyNumberFormat="1" applyFont="1" applyBorder="1" applyAlignment="1">
      <alignment horizontal="right" vertical="center"/>
    </xf>
    <xf numFmtId="174" fontId="41" fillId="0" borderId="5" xfId="0" applyNumberFormat="1" applyFont="1" applyBorder="1" applyAlignment="1">
      <alignment horizontal="right" vertical="center"/>
    </xf>
    <xf numFmtId="174" fontId="19" fillId="0" borderId="0" xfId="0" applyNumberFormat="1" applyFont="1" applyAlignment="1">
      <alignment horizontal="right" vertical="center"/>
    </xf>
    <xf numFmtId="174" fontId="41" fillId="0" borderId="0" xfId="0" applyNumberFormat="1" applyFont="1" applyAlignment="1">
      <alignment horizontal="right" vertical="center"/>
    </xf>
    <xf numFmtId="0" fontId="23" fillId="0" borderId="5" xfId="0" applyFont="1" applyBorder="1" applyAlignment="1">
      <alignment horizontal="left" vertical="center" wrapText="1"/>
    </xf>
    <xf numFmtId="174" fontId="23" fillId="0" borderId="5" xfId="0" applyNumberFormat="1" applyFont="1" applyBorder="1" applyAlignment="1">
      <alignment horizontal="right" vertical="center" wrapText="1"/>
    </xf>
    <xf numFmtId="174" fontId="19" fillId="0" borderId="5" xfId="0" applyNumberFormat="1" applyFont="1" applyBorder="1" applyAlignment="1">
      <alignment horizontal="right" vertical="center"/>
    </xf>
    <xf numFmtId="174" fontId="19" fillId="0" borderId="7" xfId="0" applyNumberFormat="1" applyFont="1" applyBorder="1" applyAlignment="1">
      <alignment horizontal="right" vertical="center"/>
    </xf>
    <xf numFmtId="174"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4" fontId="10" fillId="0" borderId="0" xfId="0" applyNumberFormat="1" applyFont="1" applyAlignment="1">
      <alignment horizontal="left" vertical="center" wrapText="1"/>
    </xf>
    <xf numFmtId="0" fontId="39" fillId="0" borderId="0" xfId="0" quotePrefix="1" applyFont="1" applyAlignment="1">
      <alignment horizontal="right"/>
    </xf>
    <xf numFmtId="0" fontId="37" fillId="0" borderId="6" xfId="0" applyFont="1" applyBorder="1" applyAlignment="1">
      <alignment vertical="center" wrapText="1"/>
    </xf>
    <xf numFmtId="174" fontId="15" fillId="0" borderId="0" xfId="0" applyNumberFormat="1" applyFont="1"/>
    <xf numFmtId="0" fontId="37" fillId="0" borderId="3" xfId="0" applyFont="1" applyBorder="1" applyAlignment="1">
      <alignment horizontal="left" vertical="center" wrapText="1"/>
    </xf>
    <xf numFmtId="0" fontId="13" fillId="0" borderId="8" xfId="0" applyFont="1" applyBorder="1" applyAlignment="1">
      <alignment horizontal="left" vertical="center" wrapText="1"/>
    </xf>
    <xf numFmtId="0" fontId="36" fillId="0" borderId="8" xfId="0" applyFont="1" applyBorder="1" applyAlignment="1">
      <alignment horizontal="left" vertical="center" wrapText="1"/>
    </xf>
    <xf numFmtId="182" fontId="15" fillId="0" borderId="14" xfId="0" applyNumberFormat="1" applyFont="1" applyBorder="1" applyAlignment="1">
      <alignment vertical="center"/>
    </xf>
    <xf numFmtId="9" fontId="15" fillId="0" borderId="0" xfId="0" applyNumberFormat="1" applyFont="1" applyAlignment="1">
      <alignment vertical="center"/>
    </xf>
    <xf numFmtId="174"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4"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4" fontId="23" fillId="0" borderId="21" xfId="0" applyNumberFormat="1" applyFont="1" applyBorder="1" applyAlignment="1">
      <alignment horizontal="right" vertical="center" wrapText="1"/>
    </xf>
    <xf numFmtId="165"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4" fontId="22" fillId="0" borderId="0" xfId="0" applyNumberFormat="1" applyFont="1" applyAlignment="1">
      <alignment horizontal="right" vertical="center"/>
    </xf>
    <xf numFmtId="0" fontId="23" fillId="0" borderId="1" xfId="0" applyFont="1" applyBorder="1" applyAlignment="1">
      <alignment horizontal="left" vertical="center" wrapText="1"/>
    </xf>
    <xf numFmtId="174" fontId="19" fillId="0" borderId="1" xfId="0" applyNumberFormat="1" applyFont="1" applyBorder="1" applyAlignment="1">
      <alignment horizontal="right" vertical="center"/>
    </xf>
    <xf numFmtId="0" fontId="25" fillId="0" borderId="0" xfId="0" applyFont="1" applyAlignment="1">
      <alignment horizontal="left" vertical="center" wrapText="1"/>
    </xf>
    <xf numFmtId="0" fontId="25" fillId="5" borderId="0" xfId="0" applyFont="1" applyFill="1" applyAlignment="1">
      <alignment vertical="center" wrapText="1"/>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3"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1"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4" fontId="48" fillId="0" borderId="0" xfId="0" applyNumberFormat="1" applyFont="1" applyAlignment="1">
      <alignment horizontal="right" vertical="center" wrapText="1"/>
    </xf>
    <xf numFmtId="174"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4" fontId="15" fillId="0" borderId="0" xfId="0" applyNumberFormat="1" applyFont="1" applyAlignment="1">
      <alignment horizontal="right"/>
    </xf>
    <xf numFmtId="173" fontId="15" fillId="0" borderId="8" xfId="0" applyNumberFormat="1" applyFont="1" applyBorder="1" applyAlignment="1">
      <alignment horizontal="right" vertical="center" wrapText="1"/>
    </xf>
    <xf numFmtId="9" fontId="40" fillId="0" borderId="0" xfId="0" applyNumberFormat="1" applyFont="1" applyAlignment="1">
      <alignment horizontal="left" vertical="center" wrapText="1"/>
    </xf>
    <xf numFmtId="174" fontId="30" fillId="0" borderId="21" xfId="0" applyNumberFormat="1" applyFont="1" applyBorder="1" applyAlignment="1">
      <alignment horizontal="right" vertical="center" wrapText="1"/>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4" fontId="15" fillId="0" borderId="22" xfId="0" applyNumberFormat="1" applyFont="1" applyBorder="1" applyAlignment="1">
      <alignment vertical="center"/>
    </xf>
    <xf numFmtId="174" fontId="15" fillId="0" borderId="23" xfId="0" applyNumberFormat="1" applyFont="1" applyBorder="1" applyAlignment="1">
      <alignment vertical="center"/>
    </xf>
    <xf numFmtId="179" fontId="22" fillId="0" borderId="14" xfId="0" applyNumberFormat="1" applyFont="1" applyBorder="1" applyAlignment="1">
      <alignment horizontal="right" vertical="center"/>
    </xf>
    <xf numFmtId="178" fontId="16" fillId="0" borderId="14" xfId="0" applyNumberFormat="1" applyFont="1" applyBorder="1" applyAlignment="1">
      <alignment vertical="center"/>
    </xf>
    <xf numFmtId="3" fontId="15" fillId="0" borderId="16" xfId="0" applyNumberFormat="1" applyFont="1" applyBorder="1" applyAlignment="1">
      <alignment vertical="center"/>
    </xf>
    <xf numFmtId="177" fontId="17" fillId="0" borderId="17" xfId="0" applyNumberFormat="1" applyFont="1" applyBorder="1" applyAlignment="1">
      <alignment horizontal="right" vertical="center"/>
    </xf>
    <xf numFmtId="0" fontId="15" fillId="0" borderId="17" xfId="0" applyFont="1" applyBorder="1" applyAlignment="1">
      <alignment horizontal="center"/>
    </xf>
    <xf numFmtId="0" fontId="22" fillId="0" borderId="22" xfId="0" applyFont="1" applyBorder="1" applyAlignment="1">
      <alignment vertical="center"/>
    </xf>
    <xf numFmtId="174" fontId="32" fillId="0" borderId="14" xfId="0" applyNumberFormat="1" applyFont="1" applyBorder="1" applyAlignment="1">
      <alignment horizontal="right" vertic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22" fillId="0" borderId="24" xfId="0" applyFont="1" applyBorder="1" applyAlignment="1">
      <alignment vertical="center"/>
    </xf>
    <xf numFmtId="0" fontId="17" fillId="0" borderId="24" xfId="0" applyFont="1" applyBorder="1" applyAlignment="1">
      <alignment vertical="center"/>
    </xf>
    <xf numFmtId="0" fontId="15" fillId="0" borderId="24" xfId="0" applyFont="1" applyBorder="1" applyAlignment="1">
      <alignment vertical="center"/>
    </xf>
    <xf numFmtId="174" fontId="15" fillId="0" borderId="24" xfId="0" applyNumberFormat="1" applyFont="1" applyBorder="1" applyAlignment="1">
      <alignment vertical="center"/>
    </xf>
    <xf numFmtId="174" fontId="15" fillId="0" borderId="16" xfId="0" applyNumberFormat="1" applyFont="1" applyBorder="1" applyAlignment="1">
      <alignment vertical="center"/>
    </xf>
    <xf numFmtId="0" fontId="57" fillId="0" borderId="0" xfId="0" applyFont="1"/>
    <xf numFmtId="165" fontId="15" fillId="0" borderId="16" xfId="0" applyNumberFormat="1" applyFont="1" applyBorder="1" applyAlignment="1">
      <alignment vertical="center"/>
    </xf>
    <xf numFmtId="182" fontId="15" fillId="0" borderId="0" xfId="0" applyNumberFormat="1" applyFont="1" applyAlignment="1">
      <alignment vertical="center"/>
    </xf>
    <xf numFmtId="176" fontId="15" fillId="0" borderId="17" xfId="0" applyNumberFormat="1" applyFont="1" applyBorder="1" applyAlignment="1">
      <alignment horizontal="right" vertical="center"/>
    </xf>
    <xf numFmtId="181"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5" fillId="0" borderId="0" xfId="0" applyFont="1" applyAlignment="1">
      <alignment vertical="center"/>
    </xf>
    <xf numFmtId="174"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4"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5" fontId="15" fillId="0" borderId="0" xfId="0" applyNumberFormat="1" applyFont="1" applyAlignment="1">
      <alignment horizontal="right" vertical="center" wrapText="1"/>
    </xf>
    <xf numFmtId="0" fontId="19" fillId="0" borderId="3" xfId="0" applyFont="1" applyBorder="1" applyAlignment="1">
      <alignment vertical="center" wrapText="1"/>
    </xf>
    <xf numFmtId="9" fontId="15" fillId="0" borderId="0" xfId="0" applyNumberFormat="1" applyFont="1" applyAlignment="1">
      <alignment horizontal="lef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4" fontId="30" fillId="0" borderId="0" xfId="0" applyNumberFormat="1" applyFont="1" applyAlignment="1">
      <alignment horizontal="right" vertical="center" wrapText="1"/>
    </xf>
    <xf numFmtId="174" fontId="30" fillId="0" borderId="0" xfId="0" applyNumberFormat="1" applyFont="1" applyAlignment="1">
      <alignment horizontal="right" vertical="center"/>
    </xf>
    <xf numFmtId="174"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4" fontId="53" fillId="0" borderId="0" xfId="0" applyNumberFormat="1" applyFont="1"/>
    <xf numFmtId="184" fontId="0" fillId="0" borderId="0" xfId="0" applyNumberFormat="1"/>
    <xf numFmtId="174" fontId="22" fillId="0" borderId="8" xfId="0" applyNumberFormat="1" applyFont="1" applyBorder="1" applyAlignment="1">
      <alignment horizontal="right" vertical="center" wrapText="1"/>
    </xf>
    <xf numFmtId="0" fontId="54" fillId="0" borderId="0" xfId="0" applyFont="1" applyAlignment="1">
      <alignment horizontal="left" vertical="center" wrapText="1"/>
    </xf>
    <xf numFmtId="0" fontId="66" fillId="0" borderId="0" xfId="0" applyFont="1" applyAlignment="1">
      <alignment vertical="center"/>
    </xf>
    <xf numFmtId="175" fontId="67" fillId="0" borderId="14" xfId="0" applyNumberFormat="1" applyFont="1" applyBorder="1" applyAlignment="1">
      <alignment horizontal="right" vertical="center"/>
    </xf>
    <xf numFmtId="174" fontId="67" fillId="0" borderId="14" xfId="0" applyNumberFormat="1" applyFont="1" applyBorder="1" applyAlignment="1">
      <alignment vertical="center"/>
    </xf>
    <xf numFmtId="174" fontId="67" fillId="0" borderId="17" xfId="0" applyNumberFormat="1" applyFont="1" applyBorder="1" applyAlignment="1">
      <alignment vertical="center"/>
    </xf>
    <xf numFmtId="174" fontId="67" fillId="0" borderId="0" xfId="0" applyNumberFormat="1" applyFont="1" applyAlignment="1">
      <alignment vertical="center"/>
    </xf>
    <xf numFmtId="174" fontId="67" fillId="0" borderId="16" xfId="0" applyNumberFormat="1" applyFont="1" applyBorder="1" applyAlignment="1">
      <alignment vertical="center"/>
    </xf>
    <xf numFmtId="174" fontId="68" fillId="0" borderId="19" xfId="0" applyNumberFormat="1" applyFont="1" applyBorder="1" applyAlignment="1">
      <alignment vertical="center"/>
    </xf>
    <xf numFmtId="174"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77" fontId="15" fillId="0" borderId="0" xfId="0" applyNumberFormat="1" applyFont="1" applyAlignment="1">
      <alignment horizontal="right" vertical="center"/>
    </xf>
    <xf numFmtId="185" fontId="0" fillId="0" borderId="0" xfId="117" applyNumberFormat="1" applyFont="1"/>
    <xf numFmtId="181" fontId="15" fillId="0" borderId="16" xfId="0" applyNumberFormat="1" applyFont="1" applyBorder="1" applyAlignment="1">
      <alignment vertical="center"/>
    </xf>
    <xf numFmtId="186" fontId="15" fillId="0" borderId="16" xfId="0" applyNumberFormat="1" applyFont="1" applyBorder="1" applyAlignment="1">
      <alignment vertical="center"/>
    </xf>
    <xf numFmtId="187" fontId="0" fillId="0" borderId="0" xfId="117" applyNumberFormat="1" applyFont="1"/>
    <xf numFmtId="174" fontId="61" fillId="0" borderId="14" xfId="0" applyNumberFormat="1" applyFont="1" applyBorder="1" applyAlignment="1">
      <alignment horizontal="right" vertical="center"/>
    </xf>
    <xf numFmtId="174"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4" fontId="30" fillId="0" borderId="19" xfId="0" applyNumberFormat="1" applyFont="1" applyBorder="1" applyAlignment="1">
      <alignment vertical="center"/>
    </xf>
    <xf numFmtId="0" fontId="30" fillId="0" borderId="19" xfId="0" applyFont="1" applyBorder="1" applyAlignment="1">
      <alignment horizontal="center" vertical="center"/>
    </xf>
    <xf numFmtId="181" fontId="15" fillId="0" borderId="0" xfId="0" applyNumberFormat="1" applyFont="1" applyAlignment="1">
      <alignment vertical="center"/>
    </xf>
    <xf numFmtId="181" fontId="15" fillId="0" borderId="0" xfId="0" applyNumberFormat="1" applyFont="1"/>
    <xf numFmtId="0" fontId="42" fillId="0" borderId="0" xfId="0" applyFont="1" applyAlignment="1">
      <alignment vertical="center"/>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47" fillId="0" borderId="0" xfId="0" applyFont="1" applyAlignment="1">
      <alignment horizontal="left" vertical="center"/>
    </xf>
    <xf numFmtId="165" fontId="15" fillId="0" borderId="14" xfId="0" applyNumberFormat="1" applyFont="1" applyBorder="1" applyAlignment="1">
      <alignment vertical="center"/>
    </xf>
    <xf numFmtId="0" fontId="25" fillId="0" borderId="0" xfId="0" quotePrefix="1" applyFont="1" applyAlignment="1">
      <alignment horizontal="left" vertical="center" wrapText="1"/>
    </xf>
    <xf numFmtId="0" fontId="25" fillId="0" borderId="0" xfId="0" quotePrefix="1" applyFont="1" applyAlignment="1">
      <alignment vertical="center" wrapText="1"/>
    </xf>
    <xf numFmtId="0" fontId="0" fillId="0" borderId="0" xfId="0" applyAlignment="1">
      <alignment vertical="center" wrapText="1"/>
    </xf>
    <xf numFmtId="0" fontId="25" fillId="0" borderId="0" xfId="0" applyFont="1" applyAlignment="1">
      <alignment horizontal="left" vertical="top" wrapText="1"/>
    </xf>
    <xf numFmtId="0" fontId="0" fillId="0" borderId="0" xfId="0" applyAlignment="1">
      <alignment horizontal="left" vertical="top" wrapText="1"/>
    </xf>
    <xf numFmtId="0" fontId="54"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0" fillId="0" borderId="0" xfId="0" applyAlignment="1">
      <alignment horizontal="left" vertical="center" wrapText="1"/>
    </xf>
  </cellXfs>
  <cellStyles count="118">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3" xfId="41" xr:uid="{DAA2E6F4-5641-47E6-8990-CF6F40A55192}"/>
    <cellStyle name="Normal 3 4" xfId="92" xr:uid="{89E21A30-533A-4558-81E3-4712DCD5E42F}"/>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A44A"/>
      <color rgb="FF0000FF"/>
      <color rgb="FFFED2D9"/>
      <color rgb="FF0000CC"/>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B10"/>
  <sheetViews>
    <sheetView showGridLines="0" tabSelected="1" zoomScaleNormal="100" workbookViewId="0"/>
  </sheetViews>
  <sheetFormatPr defaultRowHeight="15" x14ac:dyDescent="0.25"/>
  <cols>
    <col min="1" max="1" width="3.5703125" customWidth="1"/>
    <col min="4" max="4" width="20.7109375" customWidth="1"/>
    <col min="11" max="11" width="8.7109375" customWidth="1"/>
  </cols>
  <sheetData>
    <row r="8" spans="2:2" ht="21" x14ac:dyDescent="0.35">
      <c r="B8" s="2" t="s">
        <v>348</v>
      </c>
    </row>
    <row r="9" spans="2:2" ht="21" x14ac:dyDescent="0.35">
      <c r="B9" s="2"/>
    </row>
    <row r="10" spans="2:2" x14ac:dyDescent="0.25">
      <c r="B10" s="1" t="s">
        <v>411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X97"/>
  <sheetViews>
    <sheetView showGridLines="0" view="pageBreakPreview" zoomScaleNormal="100" zoomScaleSheetLayoutView="100" workbookViewId="0">
      <pane xSplit="3" ySplit="8" topLeftCell="I9" activePane="bottomRight" state="frozen"/>
      <selection pane="topRight" activeCell="D1" sqref="D1"/>
      <selection pane="bottomLeft" activeCell="A6" sqref="A6"/>
      <selection pane="bottomRight" activeCell="I9" sqref="I9"/>
    </sheetView>
  </sheetViews>
  <sheetFormatPr defaultColWidth="9.140625" defaultRowHeight="15" outlineLevelCol="1" x14ac:dyDescent="0.25"/>
  <cols>
    <col min="1" max="1" width="1.5703125" customWidth="1"/>
    <col min="2" max="2" width="1.85546875" customWidth="1"/>
    <col min="3" max="3" width="36.85546875" customWidth="1"/>
    <col min="4" max="8" width="11.28515625" hidden="1" customWidth="1" outlineLevel="1"/>
    <col min="9" max="9" width="11.28515625" customWidth="1" collapsed="1"/>
    <col min="10" max="21" width="11.28515625" customWidth="1"/>
    <col min="22" max="22" width="1.7109375" customWidth="1"/>
  </cols>
  <sheetData>
    <row r="1" spans="3:24" ht="6.95" customHeight="1" x14ac:dyDescent="0.25"/>
    <row r="2" spans="3:24" s="3" customFormat="1" ht="15.75" x14ac:dyDescent="0.25">
      <c r="C2" s="112" t="s">
        <v>137</v>
      </c>
    </row>
    <row r="3" spans="3:24" s="3" customFormat="1" ht="15.75" x14ac:dyDescent="0.25">
      <c r="C3" s="112"/>
    </row>
    <row r="4" spans="3:24" s="3" customFormat="1" ht="15.75" x14ac:dyDescent="0.25">
      <c r="C4" s="219"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row>
    <row r="5" spans="3:24" s="3" customFormat="1" ht="5.0999999999999996" customHeight="1" x14ac:dyDescent="0.25">
      <c r="C5" s="112"/>
    </row>
    <row r="6" spans="3:24" s="4" customFormat="1" ht="21.75" customHeight="1" x14ac:dyDescent="0.2">
      <c r="C6" s="293"/>
      <c r="D6" s="170" t="s">
        <v>172</v>
      </c>
      <c r="E6" s="170" t="s">
        <v>173</v>
      </c>
      <c r="F6" s="170" t="s">
        <v>174</v>
      </c>
      <c r="G6" s="170" t="s">
        <v>74</v>
      </c>
      <c r="H6" s="170" t="s">
        <v>62</v>
      </c>
      <c r="I6" s="170" t="s">
        <v>72</v>
      </c>
      <c r="J6" s="170" t="s">
        <v>71</v>
      </c>
      <c r="K6" s="170" t="s">
        <v>70</v>
      </c>
      <c r="L6" s="170" t="s">
        <v>66</v>
      </c>
      <c r="M6" s="170" t="s">
        <v>67</v>
      </c>
      <c r="N6" s="170" t="s">
        <v>68</v>
      </c>
      <c r="O6" s="170" t="s">
        <v>69</v>
      </c>
      <c r="P6" s="170" t="s">
        <v>65</v>
      </c>
      <c r="Q6" s="170" t="s">
        <v>64</v>
      </c>
      <c r="R6" s="170" t="s">
        <v>63</v>
      </c>
      <c r="S6" s="170" t="s">
        <v>203</v>
      </c>
      <c r="T6" s="170" t="s">
        <v>279</v>
      </c>
      <c r="U6" s="170" t="s">
        <v>409</v>
      </c>
    </row>
    <row r="7" spans="3:24" s="4" customFormat="1" ht="15" customHeight="1" thickBot="1" x14ac:dyDescent="0.25">
      <c r="C7" s="171" t="s">
        <v>30</v>
      </c>
      <c r="D7" s="207">
        <v>44256</v>
      </c>
      <c r="E7" s="207">
        <v>44348</v>
      </c>
      <c r="F7" s="207">
        <v>44440</v>
      </c>
      <c r="G7" s="207">
        <v>44531</v>
      </c>
      <c r="H7" s="207">
        <v>44621</v>
      </c>
      <c r="I7" s="207">
        <v>44713</v>
      </c>
      <c r="J7" s="207">
        <v>44805</v>
      </c>
      <c r="K7" s="207">
        <v>44896</v>
      </c>
      <c r="L7" s="207">
        <v>44986</v>
      </c>
      <c r="M7" s="207">
        <v>45078</v>
      </c>
      <c r="N7" s="207">
        <v>45170</v>
      </c>
      <c r="O7" s="207">
        <v>45261</v>
      </c>
      <c r="P7" s="207">
        <v>45352</v>
      </c>
      <c r="Q7" s="207">
        <v>45444</v>
      </c>
      <c r="R7" s="207">
        <v>45536</v>
      </c>
      <c r="S7" s="207">
        <v>45657</v>
      </c>
      <c r="T7" s="207">
        <v>45747</v>
      </c>
      <c r="U7" s="207">
        <v>45747</v>
      </c>
    </row>
    <row r="8" spans="3:24" x14ac:dyDescent="0.25">
      <c r="C8" s="84" t="s">
        <v>2</v>
      </c>
      <c r="D8" s="208"/>
      <c r="E8" s="208"/>
      <c r="F8" s="208"/>
      <c r="G8" s="208"/>
      <c r="H8" s="208"/>
      <c r="I8" s="208"/>
      <c r="J8" s="208"/>
      <c r="K8" s="208"/>
      <c r="L8" s="208"/>
      <c r="M8" s="208"/>
      <c r="N8" s="208"/>
      <c r="O8" s="208"/>
      <c r="P8" s="208"/>
      <c r="Q8" s="208"/>
      <c r="R8" s="208"/>
      <c r="S8" s="208"/>
      <c r="T8" s="208"/>
      <c r="U8" s="208"/>
      <c r="X8" s="4"/>
    </row>
    <row r="9" spans="3:24" x14ac:dyDescent="0.25">
      <c r="C9" s="84" t="s">
        <v>31</v>
      </c>
      <c r="D9" s="208"/>
      <c r="E9" s="208"/>
      <c r="F9" s="208"/>
      <c r="G9" s="208"/>
      <c r="H9" s="208"/>
      <c r="I9" s="208"/>
      <c r="J9" s="208"/>
      <c r="K9" s="208"/>
      <c r="L9" s="208"/>
      <c r="M9" s="208"/>
      <c r="N9" s="208"/>
      <c r="O9" s="208"/>
      <c r="P9" s="208"/>
      <c r="Q9" s="208"/>
      <c r="R9" s="208"/>
      <c r="S9" s="208"/>
      <c r="T9" s="208"/>
      <c r="U9" s="208"/>
      <c r="X9" s="4"/>
    </row>
    <row r="10" spans="3:24" x14ac:dyDescent="0.25">
      <c r="C10" s="294" t="s">
        <v>32</v>
      </c>
      <c r="D10" s="159">
        <v>1048998</v>
      </c>
      <c r="E10" s="159">
        <v>1087242</v>
      </c>
      <c r="F10" s="159">
        <v>1120260.7453575186</v>
      </c>
      <c r="G10" s="159">
        <v>1169952</v>
      </c>
      <c r="H10" s="159">
        <v>1219162.2348861301</v>
      </c>
      <c r="I10" s="159">
        <v>1245758.10891182</v>
      </c>
      <c r="J10" s="159">
        <v>1282296.9382834001</v>
      </c>
      <c r="K10" s="159">
        <v>1316626.2128766612</v>
      </c>
      <c r="L10" s="159">
        <v>1345774.6173546801</v>
      </c>
      <c r="M10" s="159">
        <v>1377300.7579653</v>
      </c>
      <c r="N10" s="159">
        <v>1406126.8002113299</v>
      </c>
      <c r="O10" s="118">
        <v>1450741.2375001856</v>
      </c>
      <c r="P10" s="159">
        <v>1481313.099088154</v>
      </c>
      <c r="Q10" s="159">
        <v>1510423.9859922088</v>
      </c>
      <c r="R10" s="159">
        <v>1532897.4697741356</v>
      </c>
      <c r="S10" s="118">
        <v>1574056.2388439667</v>
      </c>
      <c r="T10" s="159">
        <v>1617271.6464180476</v>
      </c>
      <c r="U10" s="159">
        <v>1631763</v>
      </c>
      <c r="X10" s="4"/>
    </row>
    <row r="11" spans="3:24" x14ac:dyDescent="0.25">
      <c r="C11" s="294" t="s">
        <v>33</v>
      </c>
      <c r="D11" s="159">
        <v>128081</v>
      </c>
      <c r="E11" s="159">
        <v>145639</v>
      </c>
      <c r="F11" s="159">
        <v>140847.0753386975</v>
      </c>
      <c r="G11" s="159">
        <v>146864</v>
      </c>
      <c r="H11" s="159">
        <v>151395.259971461</v>
      </c>
      <c r="I11" s="159">
        <v>155719.627416784</v>
      </c>
      <c r="J11" s="159">
        <v>153341.098298128</v>
      </c>
      <c r="K11" s="159">
        <v>157254.82664946382</v>
      </c>
      <c r="L11" s="159">
        <v>166384.20412659401</v>
      </c>
      <c r="M11" s="159">
        <v>159807.147807075</v>
      </c>
      <c r="N11" s="159">
        <v>156802.40038288001</v>
      </c>
      <c r="O11" s="118">
        <v>159342.05857261622</v>
      </c>
      <c r="P11" s="159">
        <v>178203.51234401931</v>
      </c>
      <c r="Q11" s="159">
        <v>181194.42342501041</v>
      </c>
      <c r="R11" s="159">
        <v>177269.71980632085</v>
      </c>
      <c r="S11" s="118">
        <v>190600.0531517835</v>
      </c>
      <c r="T11" s="159">
        <v>193346.87869657416</v>
      </c>
      <c r="U11" s="159">
        <v>203151</v>
      </c>
      <c r="X11" s="4"/>
    </row>
    <row r="12" spans="3:24" x14ac:dyDescent="0.25">
      <c r="C12" s="294" t="s">
        <v>3</v>
      </c>
      <c r="D12" s="159">
        <v>7806090</v>
      </c>
      <c r="E12" s="159">
        <v>7806090</v>
      </c>
      <c r="F12" s="159">
        <v>7806089.9657482877</v>
      </c>
      <c r="G12" s="159">
        <v>7870528</v>
      </c>
      <c r="H12" s="159">
        <v>7870527.5239138696</v>
      </c>
      <c r="I12" s="159">
        <v>7870528.1518948805</v>
      </c>
      <c r="J12" s="159">
        <v>7870527.97285379</v>
      </c>
      <c r="K12" s="159">
        <v>7694962.5370687628</v>
      </c>
      <c r="L12" s="159">
        <v>7626729.6680163695</v>
      </c>
      <c r="M12" s="159">
        <v>7542387.7235091804</v>
      </c>
      <c r="N12" s="159">
        <v>7593146.5005759299</v>
      </c>
      <c r="O12" s="118">
        <v>7651016.1873086523</v>
      </c>
      <c r="P12" s="159">
        <v>7562632.694812214</v>
      </c>
      <c r="Q12" s="159">
        <v>7604724.6822851971</v>
      </c>
      <c r="R12" s="159">
        <v>7594927.3041255902</v>
      </c>
      <c r="S12" s="118">
        <v>7570433.9976707958</v>
      </c>
      <c r="T12" s="159">
        <v>7675456.6424237266</v>
      </c>
      <c r="U12" s="159">
        <v>7604281</v>
      </c>
      <c r="X12" s="4"/>
    </row>
    <row r="13" spans="3:24" x14ac:dyDescent="0.25">
      <c r="C13" s="294" t="s">
        <v>34</v>
      </c>
      <c r="D13" s="159">
        <v>5547234</v>
      </c>
      <c r="E13" s="159">
        <v>5495707</v>
      </c>
      <c r="F13" s="159">
        <v>5459040.2044388102</v>
      </c>
      <c r="G13" s="159">
        <v>5295929</v>
      </c>
      <c r="H13" s="159">
        <v>5225600</v>
      </c>
      <c r="I13" s="159">
        <v>5152015.7530545304</v>
      </c>
      <c r="J13" s="159">
        <v>5075793.9973872202</v>
      </c>
      <c r="K13" s="159">
        <v>4914527.9111012565</v>
      </c>
      <c r="L13" s="159">
        <v>4798368.3536608899</v>
      </c>
      <c r="M13" s="159">
        <v>4681061.8919571303</v>
      </c>
      <c r="N13" s="159">
        <v>4627197.4415180199</v>
      </c>
      <c r="O13" s="118">
        <v>4574761.9480668325</v>
      </c>
      <c r="P13" s="159">
        <v>4447513.8632325409</v>
      </c>
      <c r="Q13" s="159">
        <v>4384594.5725139873</v>
      </c>
      <c r="R13" s="159">
        <v>4293251.3112898162</v>
      </c>
      <c r="S13" s="118">
        <v>4201469.9330549771</v>
      </c>
      <c r="T13" s="159">
        <v>4176765.2713384074</v>
      </c>
      <c r="U13" s="159">
        <v>4052205</v>
      </c>
      <c r="X13" s="4"/>
    </row>
    <row r="14" spans="3:24" x14ac:dyDescent="0.25">
      <c r="C14" s="294" t="s">
        <v>35</v>
      </c>
      <c r="D14" s="159">
        <v>1287024</v>
      </c>
      <c r="E14" s="159">
        <v>1292888</v>
      </c>
      <c r="F14" s="159">
        <v>1294533.1122947005</v>
      </c>
      <c r="G14" s="159">
        <v>1314603</v>
      </c>
      <c r="H14" s="159">
        <v>1312190.7313778999</v>
      </c>
      <c r="I14" s="159">
        <v>1325815.49089517</v>
      </c>
      <c r="J14" s="159">
        <v>1332018.9248144701</v>
      </c>
      <c r="K14" s="159">
        <v>1355849.354274994</v>
      </c>
      <c r="L14" s="159">
        <v>1353701.3036425</v>
      </c>
      <c r="M14" s="159">
        <v>1359670.7348387102</v>
      </c>
      <c r="N14" s="159">
        <v>1361587.22267</v>
      </c>
      <c r="O14" s="118">
        <v>1378150.6553933616</v>
      </c>
      <c r="P14" s="159">
        <v>1372573.2178400077</v>
      </c>
      <c r="Q14" s="159">
        <v>1365777.6687256689</v>
      </c>
      <c r="R14" s="159">
        <v>1353858.3908241622</v>
      </c>
      <c r="S14" s="118">
        <v>1359758.0898891843</v>
      </c>
      <c r="T14" s="159">
        <v>1358445.1310746334</v>
      </c>
      <c r="U14" s="159">
        <v>1358903</v>
      </c>
      <c r="X14" s="4"/>
    </row>
    <row r="15" spans="3:24" x14ac:dyDescent="0.25">
      <c r="C15" s="294" t="s">
        <v>36</v>
      </c>
      <c r="D15" s="159">
        <v>24335</v>
      </c>
      <c r="E15" s="159">
        <v>24855</v>
      </c>
      <c r="F15" s="159">
        <v>26270.695524175102</v>
      </c>
      <c r="G15" s="159">
        <v>27860</v>
      </c>
      <c r="H15" s="159">
        <v>28663</v>
      </c>
      <c r="I15" s="159">
        <v>28571.290532926203</v>
      </c>
      <c r="J15" s="159">
        <v>27831.981916343902</v>
      </c>
      <c r="K15" s="159">
        <v>28778.451316952302</v>
      </c>
      <c r="L15" s="159">
        <v>27679.4372327085</v>
      </c>
      <c r="M15" s="159">
        <v>28191.887473174698</v>
      </c>
      <c r="N15" s="159">
        <v>28822.616118447299</v>
      </c>
      <c r="O15" s="118">
        <v>103239.780901732</v>
      </c>
      <c r="P15" s="159">
        <v>110823.259769497</v>
      </c>
      <c r="Q15" s="159">
        <v>107154.576617892</v>
      </c>
      <c r="R15" s="159">
        <v>98817.969694831001</v>
      </c>
      <c r="S15" s="118">
        <v>136920.99291735102</v>
      </c>
      <c r="T15" s="159">
        <v>133952.29417836602</v>
      </c>
      <c r="U15" s="159">
        <v>130157</v>
      </c>
      <c r="X15" s="4"/>
    </row>
    <row r="16" spans="3:24" x14ac:dyDescent="0.25">
      <c r="C16" s="294" t="s">
        <v>4</v>
      </c>
      <c r="D16" s="159">
        <v>0</v>
      </c>
      <c r="E16" s="159">
        <v>0</v>
      </c>
      <c r="F16" s="159">
        <v>0</v>
      </c>
      <c r="G16" s="159">
        <v>0</v>
      </c>
      <c r="H16" s="159">
        <v>0</v>
      </c>
      <c r="I16" s="159">
        <v>0</v>
      </c>
      <c r="J16" s="159">
        <v>0</v>
      </c>
      <c r="K16" s="159">
        <v>1363</v>
      </c>
      <c r="L16" s="159">
        <v>5733.0870000000004</v>
      </c>
      <c r="M16" s="159">
        <v>23293.928</v>
      </c>
      <c r="N16" s="159">
        <v>20276.955000000002</v>
      </c>
      <c r="O16" s="118">
        <v>1716.5889999999999</v>
      </c>
      <c r="P16" s="159">
        <v>12743.791999999999</v>
      </c>
      <c r="Q16" s="159">
        <v>9153.1560000000009</v>
      </c>
      <c r="R16" s="159">
        <v>8150.8220000000001</v>
      </c>
      <c r="S16" s="118">
        <v>0</v>
      </c>
      <c r="T16" s="159">
        <v>0</v>
      </c>
      <c r="U16" s="159" t="s">
        <v>267</v>
      </c>
      <c r="X16" s="4"/>
    </row>
    <row r="17" spans="3:24" ht="15.75" thickBot="1" x14ac:dyDescent="0.3">
      <c r="C17" s="295" t="s">
        <v>210</v>
      </c>
      <c r="D17" s="120">
        <v>85669.228832577908</v>
      </c>
      <c r="E17" s="120">
        <v>88258.933036755538</v>
      </c>
      <c r="F17" s="120">
        <v>90433.321541531041</v>
      </c>
      <c r="G17" s="120">
        <v>107122.47494663656</v>
      </c>
      <c r="H17" s="160">
        <v>79647</v>
      </c>
      <c r="I17" s="160">
        <v>94733</v>
      </c>
      <c r="J17" s="160">
        <v>119955.01867311304</v>
      </c>
      <c r="K17" s="160">
        <v>104542.18667945966</v>
      </c>
      <c r="L17" s="160">
        <v>151928.74186127647</v>
      </c>
      <c r="M17" s="160">
        <v>167620.7019353052</v>
      </c>
      <c r="N17" s="160">
        <v>172141.5318543571</v>
      </c>
      <c r="O17" s="120">
        <v>176419.56557251042</v>
      </c>
      <c r="P17" s="160">
        <v>226985.60441124861</v>
      </c>
      <c r="Q17" s="160">
        <v>190426.92383214852</v>
      </c>
      <c r="R17" s="160">
        <v>134689.92024829681</v>
      </c>
      <c r="S17" s="120">
        <v>138953.11470424713</v>
      </c>
      <c r="T17" s="160">
        <v>180646.59403926923</v>
      </c>
      <c r="U17" s="160">
        <v>170133</v>
      </c>
      <c r="X17" s="4"/>
    </row>
    <row r="18" spans="3:24" x14ac:dyDescent="0.25">
      <c r="C18" s="84" t="s">
        <v>223</v>
      </c>
      <c r="D18" s="122">
        <v>15927431.228832578</v>
      </c>
      <c r="E18" s="122">
        <v>15940679.933036756</v>
      </c>
      <c r="F18" s="122">
        <v>15937475.120243719</v>
      </c>
      <c r="G18" s="122">
        <v>15932857.874946637</v>
      </c>
      <c r="H18" s="161">
        <v>15887185.257798169</v>
      </c>
      <c r="I18" s="161">
        <v>15873141.42270611</v>
      </c>
      <c r="J18" s="161">
        <v>15861765.932226464</v>
      </c>
      <c r="K18" s="161">
        <v>15573903.479967549</v>
      </c>
      <c r="L18" s="161">
        <v>15476299.412895016</v>
      </c>
      <c r="M18" s="161">
        <v>15339334.773485875</v>
      </c>
      <c r="N18" s="161">
        <v>15366101.468330963</v>
      </c>
      <c r="O18" s="122">
        <v>15495388.022315891</v>
      </c>
      <c r="P18" s="161">
        <v>15392789.043497683</v>
      </c>
      <c r="Q18" s="161">
        <v>15353449.989392156</v>
      </c>
      <c r="R18" s="161">
        <v>15193862.907763153</v>
      </c>
      <c r="S18" s="122">
        <v>15172192.420232277</v>
      </c>
      <c r="T18" s="161">
        <v>15335883.458169024</v>
      </c>
      <c r="U18" s="161">
        <f>+SUM(U10:U17)</f>
        <v>15150593</v>
      </c>
      <c r="X18" s="4"/>
    </row>
    <row r="19" spans="3:24" x14ac:dyDescent="0.25">
      <c r="C19" s="296"/>
      <c r="D19" s="162"/>
      <c r="E19" s="162"/>
      <c r="F19" s="162"/>
      <c r="G19" s="162"/>
      <c r="H19" s="162"/>
      <c r="I19" s="162"/>
      <c r="J19" s="162"/>
      <c r="K19" s="162"/>
      <c r="L19" s="162"/>
      <c r="M19" s="162"/>
      <c r="N19" s="162"/>
      <c r="O19" s="162"/>
      <c r="P19" s="162"/>
      <c r="Q19" s="162"/>
      <c r="R19" s="162"/>
      <c r="S19" s="162"/>
      <c r="T19" s="162"/>
      <c r="U19" s="162"/>
      <c r="X19" s="4"/>
    </row>
    <row r="20" spans="3:24" x14ac:dyDescent="0.25">
      <c r="C20" s="84" t="s">
        <v>37</v>
      </c>
      <c r="D20" s="162"/>
      <c r="E20" s="162"/>
      <c r="F20" s="162"/>
      <c r="G20" s="162"/>
      <c r="H20" s="162"/>
      <c r="I20" s="162"/>
      <c r="J20" s="162"/>
      <c r="K20" s="162"/>
      <c r="L20" s="162"/>
      <c r="M20" s="162"/>
      <c r="N20" s="162"/>
      <c r="O20" s="162"/>
      <c r="P20" s="162"/>
      <c r="Q20" s="162"/>
      <c r="R20" s="162"/>
      <c r="S20" s="162"/>
      <c r="T20" s="162"/>
      <c r="U20" s="162"/>
      <c r="X20" s="4"/>
    </row>
    <row r="21" spans="3:24" x14ac:dyDescent="0.25">
      <c r="C21" s="294" t="s">
        <v>6</v>
      </c>
      <c r="D21" s="118">
        <v>205413</v>
      </c>
      <c r="E21" s="118">
        <v>221728</v>
      </c>
      <c r="F21" s="118">
        <v>222450.84518886139</v>
      </c>
      <c r="G21" s="118">
        <v>252086</v>
      </c>
      <c r="H21" s="159">
        <v>291660.79479637998</v>
      </c>
      <c r="I21" s="159">
        <v>328443.36030736502</v>
      </c>
      <c r="J21" s="159">
        <v>366636.83977217198</v>
      </c>
      <c r="K21" s="159">
        <v>342731.97118998837</v>
      </c>
      <c r="L21" s="159">
        <v>366522.77999227704</v>
      </c>
      <c r="M21" s="159">
        <v>353676.01261666301</v>
      </c>
      <c r="N21" s="159">
        <v>341017.36238008499</v>
      </c>
      <c r="O21" s="118">
        <v>296442.66326245811</v>
      </c>
      <c r="P21" s="159">
        <v>324918.86582686607</v>
      </c>
      <c r="Q21" s="159">
        <v>336115.52482732502</v>
      </c>
      <c r="R21" s="159">
        <v>353373.94967140403</v>
      </c>
      <c r="S21" s="118">
        <v>316233.04957401002</v>
      </c>
      <c r="T21" s="159">
        <v>336741.80838280701</v>
      </c>
      <c r="U21" s="159">
        <v>338531</v>
      </c>
      <c r="X21" s="4"/>
    </row>
    <row r="22" spans="3:24" x14ac:dyDescent="0.25">
      <c r="C22" s="294" t="s">
        <v>211</v>
      </c>
      <c r="D22" s="118">
        <v>178719.583751258</v>
      </c>
      <c r="E22" s="118">
        <v>193536.78734209406</v>
      </c>
      <c r="F22" s="118">
        <v>179126.90693718748</v>
      </c>
      <c r="G22" s="118">
        <v>166476.19670589975</v>
      </c>
      <c r="H22" s="159">
        <v>209908.80446733339</v>
      </c>
      <c r="I22" s="159">
        <v>240651.5614078755</v>
      </c>
      <c r="J22" s="159">
        <v>237205.60698742262</v>
      </c>
      <c r="K22" s="159">
        <v>246914.19846754803</v>
      </c>
      <c r="L22" s="159">
        <v>237363.15117102442</v>
      </c>
      <c r="M22" s="159">
        <v>233998.85083816614</v>
      </c>
      <c r="N22" s="159">
        <v>205727.44114856908</v>
      </c>
      <c r="O22" s="118">
        <v>225193.60446749112</v>
      </c>
      <c r="P22" s="159">
        <v>166210.14963010058</v>
      </c>
      <c r="Q22" s="159">
        <v>253836.7924715738</v>
      </c>
      <c r="R22" s="159">
        <v>300934.02529617888</v>
      </c>
      <c r="S22" s="118">
        <v>316340.17660323088</v>
      </c>
      <c r="T22" s="159">
        <v>282703.20220504294</v>
      </c>
      <c r="U22" s="159">
        <v>312700</v>
      </c>
      <c r="X22" s="4"/>
    </row>
    <row r="23" spans="3:24" x14ac:dyDescent="0.25">
      <c r="C23" s="294" t="s">
        <v>38</v>
      </c>
      <c r="D23" s="118">
        <v>15612</v>
      </c>
      <c r="E23" s="118">
        <v>12339</v>
      </c>
      <c r="F23" s="118">
        <v>19400.946194496701</v>
      </c>
      <c r="G23" s="118">
        <v>15896</v>
      </c>
      <c r="H23" s="159">
        <v>17082.320420055603</v>
      </c>
      <c r="I23" s="159">
        <v>13183.358216207</v>
      </c>
      <c r="J23" s="159">
        <v>20085.888362613699</v>
      </c>
      <c r="K23" s="159">
        <v>12433.912224519101</v>
      </c>
      <c r="L23" s="159">
        <v>10545.7046945649</v>
      </c>
      <c r="M23" s="159">
        <v>5014.2818048082199</v>
      </c>
      <c r="N23" s="159">
        <v>9888.3995382844805</v>
      </c>
      <c r="O23" s="118">
        <v>11071.1528494301</v>
      </c>
      <c r="P23" s="159">
        <v>12085.314208317799</v>
      </c>
      <c r="Q23" s="159">
        <v>13938.643010056101</v>
      </c>
      <c r="R23" s="159">
        <v>12331.1419049658</v>
      </c>
      <c r="S23" s="118">
        <v>24506.326706539701</v>
      </c>
      <c r="T23" s="159">
        <v>16591.034467912599</v>
      </c>
      <c r="U23" s="159">
        <v>12428</v>
      </c>
      <c r="X23" s="4"/>
    </row>
    <row r="24" spans="3:24" x14ac:dyDescent="0.25">
      <c r="C24" s="294" t="s">
        <v>4</v>
      </c>
      <c r="D24" s="118">
        <v>2181</v>
      </c>
      <c r="E24" s="118">
        <v>2099</v>
      </c>
      <c r="F24" s="118">
        <v>6828.45</v>
      </c>
      <c r="G24" s="118">
        <v>9651</v>
      </c>
      <c r="H24" s="159">
        <v>11386.653</v>
      </c>
      <c r="I24" s="159">
        <v>22598.519</v>
      </c>
      <c r="J24" s="159">
        <v>33629.837</v>
      </c>
      <c r="K24" s="159">
        <v>6243.9920000000002</v>
      </c>
      <c r="L24" s="159">
        <v>1094.163</v>
      </c>
      <c r="M24" s="159">
        <v>1727.2850000000001</v>
      </c>
      <c r="N24" s="159">
        <v>4560.567</v>
      </c>
      <c r="O24" s="118">
        <v>140.47999999999999</v>
      </c>
      <c r="P24" s="159">
        <v>2246.6590000000001</v>
      </c>
      <c r="Q24" s="159">
        <v>3112.9690000000001</v>
      </c>
      <c r="R24" s="159">
        <v>451.52300000000002</v>
      </c>
      <c r="S24" s="118">
        <v>21688.966</v>
      </c>
      <c r="T24" s="159">
        <v>1582.1170000000002</v>
      </c>
      <c r="U24" s="159">
        <v>6009</v>
      </c>
      <c r="X24" s="4"/>
    </row>
    <row r="25" spans="3:24" x14ac:dyDescent="0.25">
      <c r="C25" s="294" t="s">
        <v>212</v>
      </c>
      <c r="D25" s="118">
        <v>78254.996979999996</v>
      </c>
      <c r="E25" s="118">
        <v>66322.704029999994</v>
      </c>
      <c r="F25" s="118">
        <v>61064.562121233983</v>
      </c>
      <c r="G25" s="118">
        <v>47768.432699999998</v>
      </c>
      <c r="H25" s="159">
        <v>66350.837941420788</v>
      </c>
      <c r="I25" s="159">
        <v>48012.687077627801</v>
      </c>
      <c r="J25" s="159">
        <v>45609.651551450494</v>
      </c>
      <c r="K25" s="159">
        <v>68561.729950394365</v>
      </c>
      <c r="L25" s="159">
        <v>88765.963480899998</v>
      </c>
      <c r="M25" s="159">
        <v>89131.273567134005</v>
      </c>
      <c r="N25" s="159">
        <v>72350.135270414801</v>
      </c>
      <c r="O25" s="118">
        <v>68131.311443358689</v>
      </c>
      <c r="P25" s="159">
        <v>91188.069722368891</v>
      </c>
      <c r="Q25" s="159">
        <v>102015.01767734655</v>
      </c>
      <c r="R25" s="159">
        <v>94255.414050280262</v>
      </c>
      <c r="S25" s="118">
        <v>93999.732496631026</v>
      </c>
      <c r="T25" s="159">
        <v>119195.49269369741</v>
      </c>
      <c r="U25" s="159">
        <v>120667</v>
      </c>
      <c r="X25" s="4"/>
    </row>
    <row r="26" spans="3:24" x14ac:dyDescent="0.25">
      <c r="C26" s="294" t="s">
        <v>39</v>
      </c>
      <c r="D26" s="118">
        <v>18703</v>
      </c>
      <c r="E26" s="118">
        <v>39265</v>
      </c>
      <c r="F26" s="118">
        <v>34186.829066339378</v>
      </c>
      <c r="G26" s="118">
        <v>35288</v>
      </c>
      <c r="H26" s="159">
        <v>35416.685121618888</v>
      </c>
      <c r="I26" s="159">
        <v>34142.840349230995</v>
      </c>
      <c r="J26" s="159">
        <v>37891.85967525591</v>
      </c>
      <c r="K26" s="159">
        <v>42035.298918603192</v>
      </c>
      <c r="L26" s="159">
        <v>42712.364776033253</v>
      </c>
      <c r="M26" s="159">
        <v>50636.911857726904</v>
      </c>
      <c r="N26" s="159">
        <v>50739.260694988639</v>
      </c>
      <c r="O26" s="118">
        <v>75239.156692193006</v>
      </c>
      <c r="P26" s="159">
        <v>78807.453767174738</v>
      </c>
      <c r="Q26" s="159">
        <v>56519.6011577975</v>
      </c>
      <c r="R26" s="159">
        <v>61089.902919812193</v>
      </c>
      <c r="S26" s="118">
        <v>79310.921102635795</v>
      </c>
      <c r="T26" s="159">
        <v>104429.8245120894</v>
      </c>
      <c r="U26" s="159">
        <v>107806</v>
      </c>
      <c r="X26" s="4"/>
    </row>
    <row r="27" spans="3:24" ht="15.75" thickBot="1" x14ac:dyDescent="0.3">
      <c r="C27" s="295" t="s">
        <v>40</v>
      </c>
      <c r="D27" s="120">
        <v>60872</v>
      </c>
      <c r="E27" s="120">
        <v>56991</v>
      </c>
      <c r="F27" s="120">
        <v>29292.3584851593</v>
      </c>
      <c r="G27" s="120">
        <v>24360</v>
      </c>
      <c r="H27" s="160">
        <v>25341.840414655202</v>
      </c>
      <c r="I27" s="160">
        <v>45612.141093756305</v>
      </c>
      <c r="J27" s="160">
        <v>24015.1726816314</v>
      </c>
      <c r="K27" s="160">
        <v>43725.789712353901</v>
      </c>
      <c r="L27" s="160">
        <v>38752.324474362402</v>
      </c>
      <c r="M27" s="160">
        <v>34215.969319716402</v>
      </c>
      <c r="N27" s="160">
        <v>26071.195504138297</v>
      </c>
      <c r="O27" s="120">
        <v>21402.568781965503</v>
      </c>
      <c r="P27" s="160">
        <v>45330.155312712697</v>
      </c>
      <c r="Q27" s="160">
        <v>31261.420554229699</v>
      </c>
      <c r="R27" s="160">
        <v>21290.567260008902</v>
      </c>
      <c r="S27" s="120">
        <v>30136.4562713575</v>
      </c>
      <c r="T27" s="160">
        <v>28614.391560656</v>
      </c>
      <c r="U27" s="160">
        <v>21805</v>
      </c>
      <c r="X27" s="4"/>
    </row>
    <row r="28" spans="3:24" ht="15.75" thickBot="1" x14ac:dyDescent="0.3">
      <c r="C28" s="297" t="s">
        <v>224</v>
      </c>
      <c r="D28" s="164">
        <v>559755.58073125803</v>
      </c>
      <c r="E28" s="164">
        <v>592281.49137209402</v>
      </c>
      <c r="F28" s="164">
        <v>552350.89799327822</v>
      </c>
      <c r="G28" s="164">
        <v>551525.22940589976</v>
      </c>
      <c r="H28" s="165">
        <v>657147.93616146385</v>
      </c>
      <c r="I28" s="165">
        <v>732644.46745206264</v>
      </c>
      <c r="J28" s="165">
        <v>765074.85603054636</v>
      </c>
      <c r="K28" s="165">
        <v>762646.89246340701</v>
      </c>
      <c r="L28" s="165">
        <v>785756.451589162</v>
      </c>
      <c r="M28" s="165">
        <v>768400.58500421478</v>
      </c>
      <c r="N28" s="165">
        <v>710354.36153648025</v>
      </c>
      <c r="O28" s="164">
        <v>697620.9374968966</v>
      </c>
      <c r="P28" s="165">
        <v>720787.66746754071</v>
      </c>
      <c r="Q28" s="165">
        <v>796799.96869832871</v>
      </c>
      <c r="R28" s="165">
        <v>843726.52410265012</v>
      </c>
      <c r="S28" s="164">
        <v>882215.12875440484</v>
      </c>
      <c r="T28" s="165">
        <v>889857.87082220532</v>
      </c>
      <c r="U28" s="165">
        <f>+SUM(U21:U27)</f>
        <v>919946</v>
      </c>
      <c r="X28" s="4"/>
    </row>
    <row r="29" spans="3:24" x14ac:dyDescent="0.25">
      <c r="C29" s="298" t="s">
        <v>227</v>
      </c>
      <c r="D29" s="130">
        <v>16487186.809563836</v>
      </c>
      <c r="E29" s="130">
        <v>16532961.424408849</v>
      </c>
      <c r="F29" s="130">
        <v>16489826.018236997</v>
      </c>
      <c r="G29" s="130">
        <v>16484382.104352536</v>
      </c>
      <c r="H29" s="166">
        <v>16544333.193959633</v>
      </c>
      <c r="I29" s="166">
        <v>16605785.890158173</v>
      </c>
      <c r="J29" s="166">
        <v>16626840.78825701</v>
      </c>
      <c r="K29" s="166">
        <v>16336550.372430958</v>
      </c>
      <c r="L29" s="166">
        <v>16262055.864484178</v>
      </c>
      <c r="M29" s="166">
        <v>16107735.358490089</v>
      </c>
      <c r="N29" s="166">
        <v>16076455.829867443</v>
      </c>
      <c r="O29" s="130">
        <v>16193008.959812788</v>
      </c>
      <c r="P29" s="166">
        <v>16113576.710965224</v>
      </c>
      <c r="Q29" s="166">
        <v>16150249.958090441</v>
      </c>
      <c r="R29" s="166">
        <v>16037589.431865804</v>
      </c>
      <c r="S29" s="130">
        <v>16054408.048986712</v>
      </c>
      <c r="T29" s="166">
        <v>16225741.328991231</v>
      </c>
      <c r="U29" s="166">
        <f>+U28+U18</f>
        <v>16070539</v>
      </c>
      <c r="X29" s="4"/>
    </row>
    <row r="30" spans="3:24" ht="15.75" thickBot="1" x14ac:dyDescent="0.3">
      <c r="C30" s="6"/>
      <c r="D30" s="172"/>
      <c r="E30" s="172"/>
      <c r="F30" s="172"/>
      <c r="G30" s="172"/>
      <c r="H30" s="172"/>
      <c r="I30" s="172"/>
      <c r="J30" s="172"/>
      <c r="K30" s="172"/>
      <c r="L30" s="172"/>
      <c r="M30" s="172"/>
      <c r="N30" s="172"/>
      <c r="O30" s="155"/>
      <c r="P30" s="172"/>
      <c r="Q30" s="172"/>
      <c r="R30" s="172"/>
      <c r="S30" s="155"/>
      <c r="T30" s="172"/>
      <c r="U30" s="172"/>
      <c r="X30" s="4"/>
    </row>
    <row r="31" spans="3:24" ht="15.75" thickTop="1" x14ac:dyDescent="0.25">
      <c r="C31" s="84" t="s">
        <v>41</v>
      </c>
      <c r="D31" s="162"/>
      <c r="E31" s="162"/>
      <c r="F31" s="162"/>
      <c r="G31" s="162"/>
      <c r="H31" s="162"/>
      <c r="I31" s="162"/>
      <c r="J31" s="162"/>
      <c r="K31" s="162"/>
      <c r="L31" s="162"/>
      <c r="M31" s="162"/>
      <c r="N31" s="162"/>
      <c r="O31" s="167"/>
      <c r="P31" s="162"/>
      <c r="Q31" s="162"/>
      <c r="R31" s="162"/>
      <c r="S31" s="167"/>
      <c r="T31" s="162"/>
      <c r="U31" s="162"/>
      <c r="X31" s="4"/>
    </row>
    <row r="32" spans="3:24" x14ac:dyDescent="0.25">
      <c r="C32" s="84" t="s">
        <v>42</v>
      </c>
      <c r="D32" s="162"/>
      <c r="E32" s="162"/>
      <c r="F32" s="162"/>
      <c r="G32" s="162"/>
      <c r="H32" s="162"/>
      <c r="I32" s="162"/>
      <c r="J32" s="162"/>
      <c r="K32" s="162"/>
      <c r="L32" s="162"/>
      <c r="M32" s="162"/>
      <c r="N32" s="162"/>
      <c r="O32" s="148"/>
      <c r="P32" s="162"/>
      <c r="Q32" s="162"/>
      <c r="R32" s="162"/>
      <c r="S32" s="148"/>
      <c r="T32" s="162"/>
      <c r="U32" s="162"/>
      <c r="X32" s="4"/>
    </row>
    <row r="33" spans="3:24" ht="15" customHeight="1" x14ac:dyDescent="0.25">
      <c r="C33" s="294" t="s">
        <v>43</v>
      </c>
      <c r="D33" s="159">
        <v>10</v>
      </c>
      <c r="E33" s="159">
        <v>10</v>
      </c>
      <c r="F33" s="159">
        <v>10</v>
      </c>
      <c r="G33" s="159">
        <v>359040</v>
      </c>
      <c r="H33" s="159">
        <v>359040</v>
      </c>
      <c r="I33" s="159">
        <v>359040</v>
      </c>
      <c r="J33" s="159">
        <v>359040</v>
      </c>
      <c r="K33" s="159">
        <v>359040</v>
      </c>
      <c r="L33" s="159">
        <v>359040</v>
      </c>
      <c r="M33" s="159">
        <v>359040</v>
      </c>
      <c r="N33" s="159">
        <v>359040</v>
      </c>
      <c r="O33" s="118">
        <v>359040</v>
      </c>
      <c r="P33" s="159">
        <v>359040</v>
      </c>
      <c r="Q33" s="159">
        <v>359040</v>
      </c>
      <c r="R33" s="159">
        <v>359040</v>
      </c>
      <c r="S33" s="118">
        <v>359040</v>
      </c>
      <c r="T33" s="159">
        <v>359040</v>
      </c>
      <c r="U33" s="159">
        <v>359040</v>
      </c>
      <c r="X33" s="4"/>
    </row>
    <row r="34" spans="3:24" x14ac:dyDescent="0.25">
      <c r="C34" s="294" t="s">
        <v>44</v>
      </c>
      <c r="D34" s="159">
        <v>8904664</v>
      </c>
      <c r="E34" s="159">
        <v>8904664</v>
      </c>
      <c r="F34" s="159">
        <v>8904664</v>
      </c>
      <c r="G34" s="159">
        <v>6816933</v>
      </c>
      <c r="H34" s="159">
        <v>6817188</v>
      </c>
      <c r="I34" s="159">
        <v>6817442</v>
      </c>
      <c r="J34" s="159">
        <v>6817696</v>
      </c>
      <c r="K34" s="159">
        <v>6817949</v>
      </c>
      <c r="L34" s="159">
        <v>6818600</v>
      </c>
      <c r="M34" s="159">
        <v>6818949</v>
      </c>
      <c r="N34" s="159">
        <v>6819324</v>
      </c>
      <c r="O34" s="118">
        <v>6819872</v>
      </c>
      <c r="P34" s="159">
        <v>6820336</v>
      </c>
      <c r="Q34" s="159">
        <v>6800150</v>
      </c>
      <c r="R34" s="159">
        <v>6800553</v>
      </c>
      <c r="S34" s="118">
        <v>6800974</v>
      </c>
      <c r="T34" s="159">
        <v>6801377</v>
      </c>
      <c r="U34" s="159">
        <v>6801837</v>
      </c>
      <c r="X34" s="4"/>
    </row>
    <row r="35" spans="3:24" x14ac:dyDescent="0.25">
      <c r="C35" s="294" t="s">
        <v>45</v>
      </c>
      <c r="D35" s="159">
        <v>-15949</v>
      </c>
      <c r="E35" s="159">
        <v>-9946</v>
      </c>
      <c r="F35" s="159">
        <v>-11842</v>
      </c>
      <c r="G35" s="159">
        <v>-18177</v>
      </c>
      <c r="H35" s="159">
        <v>-17134</v>
      </c>
      <c r="I35" s="159">
        <v>-1716</v>
      </c>
      <c r="J35" s="159">
        <v>9341</v>
      </c>
      <c r="K35" s="159">
        <v>-239076</v>
      </c>
      <c r="L35" s="159">
        <v>-317802</v>
      </c>
      <c r="M35" s="159">
        <v>-432891</v>
      </c>
      <c r="N35" s="159">
        <v>-365970</v>
      </c>
      <c r="O35" s="118">
        <v>-286707</v>
      </c>
      <c r="P35" s="159">
        <v>-409441</v>
      </c>
      <c r="Q35" s="159">
        <v>-360205</v>
      </c>
      <c r="R35" s="159">
        <v>-371086</v>
      </c>
      <c r="S35" s="118">
        <v>-410950</v>
      </c>
      <c r="T35" s="159">
        <v>-255162</v>
      </c>
      <c r="U35" s="159">
        <v>-356174</v>
      </c>
      <c r="X35" s="4"/>
    </row>
    <row r="36" spans="3:24" x14ac:dyDescent="0.25">
      <c r="C36" s="294" t="s">
        <v>46</v>
      </c>
      <c r="D36" s="159">
        <v>6785</v>
      </c>
      <c r="E36" s="159">
        <v>6340</v>
      </c>
      <c r="F36" s="159">
        <v>11015</v>
      </c>
      <c r="G36" s="159">
        <v>13846</v>
      </c>
      <c r="H36" s="159">
        <v>15152</v>
      </c>
      <c r="I36" s="159">
        <v>24126</v>
      </c>
      <c r="J36" s="159">
        <v>32602</v>
      </c>
      <c r="K36" s="159">
        <v>7031</v>
      </c>
      <c r="L36" s="159">
        <v>1159</v>
      </c>
      <c r="M36" s="159">
        <v>2586</v>
      </c>
      <c r="N36" s="159">
        <v>8585</v>
      </c>
      <c r="O36" s="118">
        <v>2945</v>
      </c>
      <c r="P36" s="159">
        <v>7507</v>
      </c>
      <c r="Q36" s="159">
        <v>8307</v>
      </c>
      <c r="R36" s="159">
        <v>2191</v>
      </c>
      <c r="S36" s="118">
        <v>13430</v>
      </c>
      <c r="T36" s="159">
        <v>5113</v>
      </c>
      <c r="U36" s="159">
        <v>-4357</v>
      </c>
      <c r="X36" s="4"/>
    </row>
    <row r="37" spans="3:24" x14ac:dyDescent="0.25">
      <c r="C37" s="294" t="s">
        <v>73</v>
      </c>
      <c r="D37" s="159"/>
      <c r="E37" s="159">
        <v>0</v>
      </c>
      <c r="F37" s="159">
        <v>0</v>
      </c>
      <c r="G37" s="159">
        <v>0</v>
      </c>
      <c r="H37" s="159"/>
      <c r="I37" s="159"/>
      <c r="J37" s="159"/>
      <c r="K37" s="159">
        <v>0</v>
      </c>
      <c r="L37" s="159">
        <v>0</v>
      </c>
      <c r="M37" s="159">
        <v>0</v>
      </c>
      <c r="N37" s="159">
        <v>0</v>
      </c>
      <c r="O37" s="118">
        <v>0</v>
      </c>
      <c r="P37" s="159">
        <v>0</v>
      </c>
      <c r="Q37" s="159">
        <v>0</v>
      </c>
      <c r="R37" s="159">
        <v>0</v>
      </c>
      <c r="S37" s="118">
        <v>0</v>
      </c>
      <c r="T37" s="159">
        <v>0</v>
      </c>
      <c r="U37" s="159">
        <v>0</v>
      </c>
      <c r="X37" s="4"/>
    </row>
    <row r="38" spans="3:24" x14ac:dyDescent="0.25">
      <c r="C38" s="294" t="s">
        <v>47</v>
      </c>
      <c r="D38" s="159">
        <v>-1737691</v>
      </c>
      <c r="E38" s="159">
        <v>-1770457</v>
      </c>
      <c r="F38" s="159">
        <v>-1853478</v>
      </c>
      <c r="G38" s="159">
        <v>-189180</v>
      </c>
      <c r="H38" s="159">
        <v>-203958</v>
      </c>
      <c r="I38" s="159">
        <v>-281676</v>
      </c>
      <c r="J38" s="159">
        <v>-324892</v>
      </c>
      <c r="K38" s="159">
        <v>-425129</v>
      </c>
      <c r="L38" s="159">
        <v>-486682</v>
      </c>
      <c r="M38" s="159">
        <v>-523972</v>
      </c>
      <c r="N38" s="159">
        <v>-579589</v>
      </c>
      <c r="O38" s="118">
        <v>-704498</v>
      </c>
      <c r="P38" s="159">
        <v>-723328</v>
      </c>
      <c r="Q38" s="159">
        <v>-786417</v>
      </c>
      <c r="R38" s="159">
        <v>-833615</v>
      </c>
      <c r="S38" s="118">
        <v>-889863</v>
      </c>
      <c r="T38" s="159">
        <v>-933211</v>
      </c>
      <c r="U38" s="159">
        <v>-976658</v>
      </c>
      <c r="X38" s="4"/>
    </row>
    <row r="39" spans="3:24" ht="15.75" thickBot="1" x14ac:dyDescent="0.3">
      <c r="C39" s="295" t="s">
        <v>61</v>
      </c>
      <c r="D39" s="160"/>
      <c r="E39" s="160">
        <v>0</v>
      </c>
      <c r="F39" s="160">
        <v>0</v>
      </c>
      <c r="G39" s="160">
        <v>0</v>
      </c>
      <c r="H39" s="160">
        <v>0</v>
      </c>
      <c r="I39" s="160">
        <v>0</v>
      </c>
      <c r="J39" s="160">
        <v>0</v>
      </c>
      <c r="K39" s="160">
        <v>0</v>
      </c>
      <c r="L39" s="160">
        <v>0</v>
      </c>
      <c r="M39" s="160">
        <v>0</v>
      </c>
      <c r="N39" s="160">
        <v>0</v>
      </c>
      <c r="O39" s="120">
        <v>0</v>
      </c>
      <c r="P39" s="160">
        <v>0</v>
      </c>
      <c r="Q39" s="160">
        <v>0</v>
      </c>
      <c r="R39" s="160">
        <v>0</v>
      </c>
      <c r="S39" s="120">
        <v>0</v>
      </c>
      <c r="T39" s="160">
        <v>0</v>
      </c>
      <c r="U39" s="160">
        <v>0</v>
      </c>
      <c r="X39" s="4"/>
    </row>
    <row r="40" spans="3:24" x14ac:dyDescent="0.25">
      <c r="C40" s="84" t="s">
        <v>48</v>
      </c>
      <c r="D40" s="161">
        <v>7157819</v>
      </c>
      <c r="E40" s="161">
        <v>7130611</v>
      </c>
      <c r="F40" s="161">
        <v>7050369</v>
      </c>
      <c r="G40" s="161">
        <v>6982462.4000000004</v>
      </c>
      <c r="H40" s="161">
        <v>6970288</v>
      </c>
      <c r="I40" s="161">
        <v>6917216</v>
      </c>
      <c r="J40" s="161">
        <v>6893787</v>
      </c>
      <c r="K40" s="161">
        <v>6519815.4819775317</v>
      </c>
      <c r="L40" s="161">
        <v>6374315</v>
      </c>
      <c r="M40" s="161">
        <v>6223712</v>
      </c>
      <c r="N40" s="161">
        <v>6241390</v>
      </c>
      <c r="O40" s="122">
        <v>6190651.8095634123</v>
      </c>
      <c r="P40" s="161">
        <v>6054114.0627346011</v>
      </c>
      <c r="Q40" s="161">
        <v>6020875.3704154287</v>
      </c>
      <c r="R40" s="161">
        <v>5957082.8800234031</v>
      </c>
      <c r="S40" s="122">
        <v>5872630.8522625156</v>
      </c>
      <c r="T40" s="161">
        <v>5977156.8946494423</v>
      </c>
      <c r="U40" s="161">
        <f>+SUM(U33:U39)</f>
        <v>5823688</v>
      </c>
      <c r="X40" s="4"/>
    </row>
    <row r="41" spans="3:24" x14ac:dyDescent="0.25">
      <c r="C41" s="296"/>
      <c r="D41" s="162"/>
      <c r="E41" s="162"/>
      <c r="F41" s="162"/>
      <c r="G41" s="162"/>
      <c r="H41" s="162"/>
      <c r="I41" s="162"/>
      <c r="J41" s="162"/>
      <c r="K41" s="162"/>
      <c r="L41" s="162"/>
      <c r="M41" s="162"/>
      <c r="N41" s="162"/>
      <c r="O41" s="169"/>
      <c r="P41" s="162"/>
      <c r="Q41" s="162"/>
      <c r="R41" s="162"/>
      <c r="S41" s="169"/>
      <c r="T41" s="162"/>
      <c r="U41" s="162"/>
      <c r="X41" s="4"/>
    </row>
    <row r="42" spans="3:24" x14ac:dyDescent="0.25">
      <c r="C42" s="84" t="s">
        <v>49</v>
      </c>
      <c r="D42" s="162"/>
      <c r="E42" s="162"/>
      <c r="F42" s="162"/>
      <c r="G42" s="162"/>
      <c r="H42" s="162"/>
      <c r="I42" s="162"/>
      <c r="J42" s="162"/>
      <c r="K42" s="162"/>
      <c r="L42" s="162"/>
      <c r="M42" s="162"/>
      <c r="N42" s="162"/>
      <c r="O42" s="154"/>
      <c r="P42" s="162"/>
      <c r="Q42" s="162"/>
      <c r="R42" s="162"/>
      <c r="S42" s="154"/>
      <c r="T42" s="162"/>
      <c r="U42" s="162"/>
      <c r="X42" s="4"/>
    </row>
    <row r="43" spans="3:24" x14ac:dyDescent="0.25">
      <c r="C43" s="294" t="s">
        <v>213</v>
      </c>
      <c r="D43" s="118">
        <v>6840585.4468167732</v>
      </c>
      <c r="E43" s="118">
        <v>6940397.2960222289</v>
      </c>
      <c r="F43" s="118">
        <v>6964455.9787012022</v>
      </c>
      <c r="G43" s="118">
        <v>7078341.0572480755</v>
      </c>
      <c r="H43" s="159">
        <v>7127147.2255470091</v>
      </c>
      <c r="I43" s="159">
        <v>7236464.9188676924</v>
      </c>
      <c r="J43" s="159">
        <v>7282378.1550645577</v>
      </c>
      <c r="K43" s="159">
        <v>7326900.5873643365</v>
      </c>
      <c r="L43" s="159">
        <v>7418854.0976320729</v>
      </c>
      <c r="M43" s="159">
        <v>7408803.6654840438</v>
      </c>
      <c r="N43" s="159">
        <v>7394048.5010476448</v>
      </c>
      <c r="O43" s="118">
        <v>7414205.3854160635</v>
      </c>
      <c r="P43" s="159">
        <v>7536702.2054983508</v>
      </c>
      <c r="Q43" s="159">
        <v>7542336.2190526668</v>
      </c>
      <c r="R43" s="159">
        <v>7520797.7978110667</v>
      </c>
      <c r="S43" s="118">
        <v>7579973.6245725257</v>
      </c>
      <c r="T43" s="159">
        <v>7687174.0813654913</v>
      </c>
      <c r="U43" s="159">
        <v>7721481</v>
      </c>
      <c r="X43" s="4"/>
    </row>
    <row r="44" spans="3:24" x14ac:dyDescent="0.25">
      <c r="C44" s="294" t="s">
        <v>4</v>
      </c>
      <c r="D44" s="118">
        <v>36231</v>
      </c>
      <c r="E44" s="118">
        <v>36660</v>
      </c>
      <c r="F44" s="118">
        <v>32980.383000000002</v>
      </c>
      <c r="G44" s="118">
        <v>0</v>
      </c>
      <c r="H44" s="159">
        <v>0</v>
      </c>
      <c r="I44" s="159">
        <v>0</v>
      </c>
      <c r="J44" s="159">
        <v>0</v>
      </c>
      <c r="K44" s="159">
        <v>4592.5600000000004</v>
      </c>
      <c r="L44" s="159">
        <v>8246.8340000000007</v>
      </c>
      <c r="M44" s="159">
        <v>0</v>
      </c>
      <c r="N44" s="159">
        <v>0</v>
      </c>
      <c r="O44" s="118">
        <v>23697.667000000001</v>
      </c>
      <c r="P44" s="159">
        <v>10976.376</v>
      </c>
      <c r="Q44" s="159">
        <v>4306.201</v>
      </c>
      <c r="R44" s="159">
        <v>25536.383000000002</v>
      </c>
      <c r="S44" s="118">
        <v>24876.645</v>
      </c>
      <c r="T44" s="159">
        <v>23272.826000000001</v>
      </c>
      <c r="U44" s="159">
        <v>26263</v>
      </c>
      <c r="X44" s="4"/>
    </row>
    <row r="45" spans="3:24" x14ac:dyDescent="0.25">
      <c r="C45" s="294" t="s">
        <v>214</v>
      </c>
      <c r="D45" s="118">
        <v>86789.782015804754</v>
      </c>
      <c r="E45" s="118">
        <v>78724.637014526204</v>
      </c>
      <c r="F45" s="118">
        <v>67971.911178173192</v>
      </c>
      <c r="G45" s="118">
        <v>65418.417698560726</v>
      </c>
      <c r="H45" s="159">
        <v>50466.079507119153</v>
      </c>
      <c r="I45" s="159">
        <v>56154.014125525806</v>
      </c>
      <c r="J45" s="159">
        <v>57844.085988506573</v>
      </c>
      <c r="K45" s="159">
        <v>70859.200030249369</v>
      </c>
      <c r="L45" s="159">
        <v>82270.102209143675</v>
      </c>
      <c r="M45" s="159">
        <v>100541.90583705634</v>
      </c>
      <c r="N45" s="159">
        <v>114992.91973847523</v>
      </c>
      <c r="O45" s="118">
        <v>127185.1369960692</v>
      </c>
      <c r="P45" s="159">
        <v>105654.89225368232</v>
      </c>
      <c r="Q45" s="159">
        <v>113821.58062103012</v>
      </c>
      <c r="R45" s="159">
        <v>124412.01641567794</v>
      </c>
      <c r="S45" s="118">
        <v>137032.01273781038</v>
      </c>
      <c r="T45" s="159">
        <v>110325.22553376935</v>
      </c>
      <c r="U45" s="159">
        <v>104940</v>
      </c>
      <c r="X45" s="4"/>
    </row>
    <row r="46" spans="3:24" x14ac:dyDescent="0.25">
      <c r="C46" s="294" t="s">
        <v>50</v>
      </c>
      <c r="D46" s="118">
        <v>1376097</v>
      </c>
      <c r="E46" s="118">
        <v>1362202</v>
      </c>
      <c r="F46" s="118">
        <v>1355593.3910179001</v>
      </c>
      <c r="G46" s="118">
        <v>1306694</v>
      </c>
      <c r="H46" s="159">
        <v>1287439</v>
      </c>
      <c r="I46" s="159">
        <v>1279728.8745466499</v>
      </c>
      <c r="J46" s="159">
        <v>1272845.3115932201</v>
      </c>
      <c r="K46" s="159">
        <v>1249485.8821947998</v>
      </c>
      <c r="L46" s="159">
        <v>1197682.4797047901</v>
      </c>
      <c r="M46" s="159">
        <v>1166313.6458888398</v>
      </c>
      <c r="N46" s="159">
        <v>1135458.4177959398</v>
      </c>
      <c r="O46" s="159">
        <v>1178357.0379025601</v>
      </c>
      <c r="P46" s="159">
        <v>1154446.21943256</v>
      </c>
      <c r="Q46" s="159">
        <v>1141806.12470772</v>
      </c>
      <c r="R46" s="159">
        <v>1088958.08147868</v>
      </c>
      <c r="S46" s="159">
        <v>1083250.4234963902</v>
      </c>
      <c r="T46" s="159">
        <v>1071386.50798638</v>
      </c>
      <c r="U46" s="159">
        <v>1041296</v>
      </c>
      <c r="X46" s="4"/>
    </row>
    <row r="47" spans="3:24" ht="15.75" thickBot="1" x14ac:dyDescent="0.3">
      <c r="C47" s="295" t="s">
        <v>51</v>
      </c>
      <c r="D47" s="120">
        <v>53229</v>
      </c>
      <c r="E47" s="120">
        <v>52694</v>
      </c>
      <c r="F47" s="120">
        <v>51564.445</v>
      </c>
      <c r="G47" s="120">
        <v>22437</v>
      </c>
      <c r="H47" s="160">
        <v>20038.076000000001</v>
      </c>
      <c r="I47" s="160">
        <v>18625.68</v>
      </c>
      <c r="J47" s="160">
        <v>17645.724999999999</v>
      </c>
      <c r="K47" s="160">
        <v>16814.912</v>
      </c>
      <c r="L47" s="160">
        <v>16343.892</v>
      </c>
      <c r="M47" s="160">
        <v>15980.325999999999</v>
      </c>
      <c r="N47" s="160">
        <v>21647.826000000001</v>
      </c>
      <c r="O47" s="120">
        <v>34780.364000000001</v>
      </c>
      <c r="P47" s="160">
        <v>36673.191796095402</v>
      </c>
      <c r="Q47" s="160">
        <v>29649.749</v>
      </c>
      <c r="R47" s="160">
        <v>42308.684187095096</v>
      </c>
      <c r="S47" s="120">
        <v>42099.6102348684</v>
      </c>
      <c r="T47" s="160">
        <v>40280.666102964497</v>
      </c>
      <c r="U47" s="160">
        <v>38408</v>
      </c>
      <c r="X47" s="4"/>
    </row>
    <row r="48" spans="3:24" x14ac:dyDescent="0.25">
      <c r="C48" s="84" t="s">
        <v>226</v>
      </c>
      <c r="D48" s="122">
        <v>8392932.2288325783</v>
      </c>
      <c r="E48" s="122">
        <v>8470677.9330367558</v>
      </c>
      <c r="F48" s="122">
        <v>8472566.1088972781</v>
      </c>
      <c r="G48" s="122">
        <v>8472890.4749466367</v>
      </c>
      <c r="H48" s="161">
        <v>8485090.3810541295</v>
      </c>
      <c r="I48" s="161">
        <v>8590973.4875398669</v>
      </c>
      <c r="J48" s="161">
        <v>8630712.2776462827</v>
      </c>
      <c r="K48" s="161">
        <v>8668653.1415893864</v>
      </c>
      <c r="L48" s="161">
        <v>8723397.4055460077</v>
      </c>
      <c r="M48" s="161">
        <v>8691639.5432099383</v>
      </c>
      <c r="N48" s="161">
        <v>8666147.6645820588</v>
      </c>
      <c r="O48" s="122">
        <v>8778225.5913146939</v>
      </c>
      <c r="P48" s="161">
        <v>8844453.8849806897</v>
      </c>
      <c r="Q48" s="161">
        <v>8831919.8743814118</v>
      </c>
      <c r="R48" s="161">
        <v>8802012.9628925193</v>
      </c>
      <c r="S48" s="122">
        <v>8867232.8160415944</v>
      </c>
      <c r="T48" s="161">
        <v>8932439.3069886044</v>
      </c>
      <c r="U48" s="161">
        <v>8932387</v>
      </c>
      <c r="X48" s="4"/>
    </row>
    <row r="49" spans="3:24" x14ac:dyDescent="0.25">
      <c r="C49" s="296"/>
      <c r="D49" s="154"/>
      <c r="E49" s="154"/>
      <c r="F49" s="154"/>
      <c r="G49" s="154"/>
      <c r="H49" s="162"/>
      <c r="I49" s="162"/>
      <c r="J49" s="162"/>
      <c r="K49" s="162"/>
      <c r="L49" s="162"/>
      <c r="M49" s="162"/>
      <c r="N49" s="162"/>
      <c r="O49" s="162"/>
      <c r="P49" s="162"/>
      <c r="Q49" s="162"/>
      <c r="R49" s="162"/>
      <c r="S49" s="162"/>
      <c r="T49" s="162"/>
      <c r="U49" s="162"/>
      <c r="X49" s="4"/>
    </row>
    <row r="50" spans="3:24" x14ac:dyDescent="0.25">
      <c r="C50" s="84" t="s">
        <v>52</v>
      </c>
      <c r="D50" s="154"/>
      <c r="E50" s="154"/>
      <c r="F50" s="154"/>
      <c r="G50" s="154"/>
      <c r="H50" s="162"/>
      <c r="I50" s="162"/>
      <c r="J50" s="162"/>
      <c r="K50" s="162"/>
      <c r="L50" s="162"/>
      <c r="M50" s="162"/>
      <c r="N50" s="162"/>
      <c r="O50" s="162"/>
      <c r="P50" s="162"/>
      <c r="Q50" s="162"/>
      <c r="R50" s="162"/>
      <c r="S50" s="162"/>
      <c r="T50" s="162"/>
      <c r="U50" s="162"/>
      <c r="X50" s="4"/>
    </row>
    <row r="51" spans="3:24" x14ac:dyDescent="0.25">
      <c r="C51" s="294" t="s">
        <v>53</v>
      </c>
      <c r="D51" s="118">
        <v>158366</v>
      </c>
      <c r="E51" s="118">
        <v>141021</v>
      </c>
      <c r="F51" s="118">
        <v>129628.986368674</v>
      </c>
      <c r="G51" s="118">
        <v>190682</v>
      </c>
      <c r="H51" s="159">
        <v>177559.33252995397</v>
      </c>
      <c r="I51" s="159">
        <v>177059.43055352199</v>
      </c>
      <c r="J51" s="159">
        <v>173608.22475722502</v>
      </c>
      <c r="K51" s="159">
        <v>188663.77487108498</v>
      </c>
      <c r="L51" s="159">
        <v>166430.43442267503</v>
      </c>
      <c r="M51" s="159">
        <v>170400.19588858899</v>
      </c>
      <c r="N51" s="159">
        <v>149714.08446156999</v>
      </c>
      <c r="O51" s="118">
        <v>171164.11906751702</v>
      </c>
      <c r="P51" s="159">
        <v>166410.690318326</v>
      </c>
      <c r="Q51" s="159">
        <v>175531.93982932903</v>
      </c>
      <c r="R51" s="159">
        <v>166912.747587878</v>
      </c>
      <c r="S51" s="118">
        <v>176007.50659218201</v>
      </c>
      <c r="T51" s="159">
        <v>192816.70735269002</v>
      </c>
      <c r="U51" s="159">
        <v>177676</v>
      </c>
      <c r="X51" s="4"/>
    </row>
    <row r="52" spans="3:24" x14ac:dyDescent="0.25">
      <c r="C52" s="294" t="s">
        <v>54</v>
      </c>
      <c r="D52" s="118">
        <v>48951</v>
      </c>
      <c r="E52" s="118">
        <v>45816</v>
      </c>
      <c r="F52" s="118">
        <v>89482.872572274107</v>
      </c>
      <c r="G52" s="118">
        <v>85203</v>
      </c>
      <c r="H52" s="159">
        <v>98140.012495856994</v>
      </c>
      <c r="I52" s="159">
        <v>96011.211558988201</v>
      </c>
      <c r="J52" s="159">
        <v>114771.398225967</v>
      </c>
      <c r="K52" s="159">
        <v>79776.831400584502</v>
      </c>
      <c r="L52" s="159">
        <v>97179.26509094199</v>
      </c>
      <c r="M52" s="159">
        <v>91250.6527597604</v>
      </c>
      <c r="N52" s="159">
        <v>101693.71831642701</v>
      </c>
      <c r="O52" s="118">
        <v>87565.473159394911</v>
      </c>
      <c r="P52" s="159">
        <v>111108.59197382601</v>
      </c>
      <c r="Q52" s="159">
        <v>112713.576828613</v>
      </c>
      <c r="R52" s="159">
        <v>121395.00061541201</v>
      </c>
      <c r="S52" s="159">
        <v>104181.197316387</v>
      </c>
      <c r="T52" s="159">
        <v>111835.13047510899</v>
      </c>
      <c r="U52" s="159">
        <v>115565</v>
      </c>
      <c r="X52" s="4"/>
    </row>
    <row r="53" spans="3:24" x14ac:dyDescent="0.25">
      <c r="C53" s="294" t="s">
        <v>215</v>
      </c>
      <c r="D53" s="118">
        <v>137262.19124549802</v>
      </c>
      <c r="E53" s="118">
        <v>168519.065509304</v>
      </c>
      <c r="F53" s="118">
        <v>153132.07680318531</v>
      </c>
      <c r="G53" s="118">
        <v>190738.81964049424</v>
      </c>
      <c r="H53" s="159">
        <v>198558.23785095318</v>
      </c>
      <c r="I53" s="159">
        <v>225286.11460170124</v>
      </c>
      <c r="J53" s="159">
        <v>222116.96113611315</v>
      </c>
      <c r="K53" s="159">
        <v>297042.71754802985</v>
      </c>
      <c r="L53" s="159">
        <v>304282.29768541583</v>
      </c>
      <c r="M53" s="159">
        <v>323385.03146552248</v>
      </c>
      <c r="N53" s="159">
        <v>295679.86599611724</v>
      </c>
      <c r="O53" s="118">
        <v>337695.34866405191</v>
      </c>
      <c r="P53" s="159">
        <v>236364.65757063206</v>
      </c>
      <c r="Q53" s="159">
        <v>304299.02513572969</v>
      </c>
      <c r="R53" s="159">
        <v>319013.45010429004</v>
      </c>
      <c r="S53" s="118">
        <v>357516.81063798047</v>
      </c>
      <c r="T53" s="159">
        <v>294283.37058005726</v>
      </c>
      <c r="U53" s="159">
        <v>329945</v>
      </c>
      <c r="X53" s="4"/>
    </row>
    <row r="54" spans="3:24" x14ac:dyDescent="0.25">
      <c r="C54" s="294" t="s">
        <v>4</v>
      </c>
      <c r="D54" s="118">
        <v>2317</v>
      </c>
      <c r="E54" s="118">
        <v>3613</v>
      </c>
      <c r="F54" s="118">
        <v>43.313000000000002</v>
      </c>
      <c r="G54" s="118">
        <v>30853</v>
      </c>
      <c r="H54" s="159">
        <v>21393.584999999999</v>
      </c>
      <c r="I54" s="159">
        <v>6782.5429999999997</v>
      </c>
      <c r="J54" s="159">
        <v>265.33499999999998</v>
      </c>
      <c r="K54" s="159">
        <v>5175.3440000000001</v>
      </c>
      <c r="L54" s="159">
        <v>7432.0290000000005</v>
      </c>
      <c r="M54" s="159">
        <v>6268</v>
      </c>
      <c r="N54" s="159">
        <v>1562</v>
      </c>
      <c r="O54" s="118">
        <v>4235.1879999999992</v>
      </c>
      <c r="P54" s="159">
        <v>604</v>
      </c>
      <c r="Q54" s="159">
        <v>566.12</v>
      </c>
      <c r="R54" s="159">
        <v>5043.1730000000007</v>
      </c>
      <c r="S54" s="118">
        <v>29.5</v>
      </c>
      <c r="T54" s="159">
        <v>5220.8359999999993</v>
      </c>
      <c r="U54" s="159">
        <v>13413</v>
      </c>
      <c r="X54" s="4"/>
    </row>
    <row r="55" spans="3:24" x14ac:dyDescent="0.25">
      <c r="C55" s="294" t="s">
        <v>216</v>
      </c>
      <c r="D55" s="118">
        <v>539420.38948576001</v>
      </c>
      <c r="E55" s="118">
        <v>529336.42586279009</v>
      </c>
      <c r="F55" s="118">
        <v>508552.58135337371</v>
      </c>
      <c r="G55" s="118">
        <v>492537.80976540549</v>
      </c>
      <c r="H55" s="159">
        <v>530104.95865359227</v>
      </c>
      <c r="I55" s="159">
        <v>535711.90998448723</v>
      </c>
      <c r="J55" s="159">
        <v>529790.12453348248</v>
      </c>
      <c r="K55" s="159">
        <v>516906.85701751959</v>
      </c>
      <c r="L55" s="159">
        <v>520507.53565767163</v>
      </c>
      <c r="M55" s="159">
        <v>523716.58263167756</v>
      </c>
      <c r="N55" s="159">
        <v>543456.81974411779</v>
      </c>
      <c r="O55" s="118">
        <v>546676.06843069545</v>
      </c>
      <c r="P55" s="159">
        <v>608238.79960181576</v>
      </c>
      <c r="Q55" s="159">
        <v>610057.71743814647</v>
      </c>
      <c r="R55" s="159">
        <v>587831.49764222954</v>
      </c>
      <c r="S55" s="159">
        <v>576754.16465268354</v>
      </c>
      <c r="T55" s="159">
        <v>617305.66443727119</v>
      </c>
      <c r="U55" s="159">
        <v>591339</v>
      </c>
      <c r="X55" s="4"/>
    </row>
    <row r="56" spans="3:24" ht="15.75" thickBot="1" x14ac:dyDescent="0.3">
      <c r="C56" s="295" t="s">
        <v>55</v>
      </c>
      <c r="D56" s="120">
        <v>50119</v>
      </c>
      <c r="E56" s="120">
        <v>43367</v>
      </c>
      <c r="F56" s="120">
        <v>47050.840038943403</v>
      </c>
      <c r="G56" s="120">
        <v>39015</v>
      </c>
      <c r="H56" s="160">
        <v>63197.162597129303</v>
      </c>
      <c r="I56" s="160">
        <v>56744.650021706904</v>
      </c>
      <c r="J56" s="160">
        <v>61790.986967091201</v>
      </c>
      <c r="K56" s="160">
        <v>60517.156830259308</v>
      </c>
      <c r="L56" s="160">
        <v>68512</v>
      </c>
      <c r="M56" s="160">
        <v>77364.209219501412</v>
      </c>
      <c r="N56" s="160">
        <v>76811.223574367803</v>
      </c>
      <c r="O56" s="120">
        <v>76795.230128578201</v>
      </c>
      <c r="P56" s="160">
        <v>92282.92442179611</v>
      </c>
      <c r="Q56" s="160">
        <v>94286.661570730401</v>
      </c>
      <c r="R56" s="160">
        <v>78297.785581573291</v>
      </c>
      <c r="S56" s="120">
        <v>100055.00572628531</v>
      </c>
      <c r="T56" s="160">
        <v>94683.424368228501</v>
      </c>
      <c r="U56" s="160">
        <v>86527</v>
      </c>
      <c r="X56" s="4"/>
    </row>
    <row r="57" spans="3:24" ht="15.75" thickBot="1" x14ac:dyDescent="0.3">
      <c r="C57" s="297" t="s">
        <v>225</v>
      </c>
      <c r="D57" s="164">
        <v>936435.58073125803</v>
      </c>
      <c r="E57" s="164">
        <v>931672.49137209402</v>
      </c>
      <c r="F57" s="164">
        <v>927890.67013645056</v>
      </c>
      <c r="G57" s="164">
        <v>1029029.6294058998</v>
      </c>
      <c r="H57" s="165">
        <v>1088953.2891274858</v>
      </c>
      <c r="I57" s="165">
        <v>1097595.8597204057</v>
      </c>
      <c r="J57" s="165">
        <v>1102343.0306198788</v>
      </c>
      <c r="K57" s="165">
        <v>1148082.6816674783</v>
      </c>
      <c r="L57" s="165">
        <v>1164343.1714205008</v>
      </c>
      <c r="M57" s="165">
        <v>1192384.671965051</v>
      </c>
      <c r="N57" s="165">
        <v>1168918.7120925998</v>
      </c>
      <c r="O57" s="164">
        <v>1224131.9274502376</v>
      </c>
      <c r="P57" s="165">
        <v>1215008.663886396</v>
      </c>
      <c r="Q57" s="165">
        <v>1297455.0408025489</v>
      </c>
      <c r="R57" s="165">
        <v>1278493.654531383</v>
      </c>
      <c r="S57" s="164">
        <v>1314544.1849255185</v>
      </c>
      <c r="T57" s="165">
        <v>1316144.1332133559</v>
      </c>
      <c r="U57" s="165">
        <f>+SUM(U51:U56)</f>
        <v>1314465</v>
      </c>
      <c r="X57" s="4"/>
    </row>
    <row r="58" spans="3:24" ht="15.75" thickBot="1" x14ac:dyDescent="0.3">
      <c r="C58" s="297" t="s">
        <v>228</v>
      </c>
      <c r="D58" s="164">
        <v>9329367.8095638361</v>
      </c>
      <c r="E58" s="164">
        <v>9402350.4244088493</v>
      </c>
      <c r="F58" s="164">
        <v>9400456.7790337279</v>
      </c>
      <c r="G58" s="164">
        <v>9501920.1043525357</v>
      </c>
      <c r="H58" s="165">
        <v>9574043.6701816153</v>
      </c>
      <c r="I58" s="165">
        <v>9688569.347260274</v>
      </c>
      <c r="J58" s="165">
        <v>9733055.308266161</v>
      </c>
      <c r="K58" s="165">
        <v>9816735.823256867</v>
      </c>
      <c r="L58" s="165">
        <v>9887740.5769665092</v>
      </c>
      <c r="M58" s="165">
        <v>9884024.2151749879</v>
      </c>
      <c r="N58" s="165">
        <v>9835066.3766746596</v>
      </c>
      <c r="O58" s="164">
        <v>10002357.018764932</v>
      </c>
      <c r="P58" s="165">
        <v>10059462.548867084</v>
      </c>
      <c r="Q58" s="165">
        <v>10129374.91518396</v>
      </c>
      <c r="R58" s="165">
        <v>10080506.617423903</v>
      </c>
      <c r="S58" s="164">
        <v>10181777.000967113</v>
      </c>
      <c r="T58" s="165">
        <v>10248584.440201961</v>
      </c>
      <c r="U58" s="165">
        <f>+U57+U48</f>
        <v>10246852</v>
      </c>
      <c r="X58" s="4"/>
    </row>
    <row r="59" spans="3:24" x14ac:dyDescent="0.25">
      <c r="C59" s="298" t="s">
        <v>229</v>
      </c>
      <c r="D59" s="130">
        <v>16487186.809563836</v>
      </c>
      <c r="E59" s="130">
        <v>16532961.424408849</v>
      </c>
      <c r="F59" s="130">
        <v>16489825.98421235</v>
      </c>
      <c r="G59" s="130">
        <v>16484382.004352536</v>
      </c>
      <c r="H59" s="166">
        <v>16544333.170181615</v>
      </c>
      <c r="I59" s="166">
        <v>16605785.847260274</v>
      </c>
      <c r="J59" s="166">
        <v>16626840.78825701</v>
      </c>
      <c r="K59" s="166">
        <v>16336550.305234399</v>
      </c>
      <c r="L59" s="166">
        <v>16262055.968535418</v>
      </c>
      <c r="M59" s="166">
        <v>16107735.298693748</v>
      </c>
      <c r="N59" s="166">
        <v>16076456.08894931</v>
      </c>
      <c r="O59" s="130">
        <v>16193009.328328343</v>
      </c>
      <c r="P59" s="166">
        <v>16113576.611601688</v>
      </c>
      <c r="Q59" s="166">
        <v>16150250.285599388</v>
      </c>
      <c r="R59" s="166">
        <v>16037589.497447306</v>
      </c>
      <c r="S59" s="130">
        <v>16054407.853229629</v>
      </c>
      <c r="T59" s="166">
        <v>16225741.334851403</v>
      </c>
      <c r="U59" s="166">
        <v>16070539</v>
      </c>
      <c r="X59" s="4"/>
    </row>
    <row r="60" spans="3:24" x14ac:dyDescent="0.25">
      <c r="D60" s="155"/>
      <c r="E60" s="155"/>
      <c r="F60" s="155"/>
      <c r="G60" s="155"/>
      <c r="H60" s="155"/>
      <c r="I60" s="155"/>
      <c r="J60" s="155"/>
      <c r="K60" s="155"/>
      <c r="L60" s="155"/>
      <c r="M60" s="155"/>
      <c r="N60" s="155"/>
      <c r="O60" s="155"/>
      <c r="P60" s="155"/>
      <c r="Q60" s="155"/>
      <c r="R60" s="155"/>
      <c r="S60" s="155"/>
      <c r="T60" s="155"/>
      <c r="U60" s="155"/>
      <c r="X60" s="4"/>
    </row>
    <row r="61" spans="3:24" x14ac:dyDescent="0.25">
      <c r="C61" s="179" t="s">
        <v>258</v>
      </c>
      <c r="D61" s="122"/>
      <c r="E61" s="122"/>
      <c r="F61" s="122"/>
      <c r="G61" s="122"/>
      <c r="H61" s="122"/>
      <c r="I61" s="122"/>
      <c r="J61" s="122"/>
      <c r="K61" s="122"/>
      <c r="L61" s="122"/>
      <c r="M61" s="122"/>
      <c r="N61" s="122"/>
      <c r="O61" s="122"/>
      <c r="P61" s="161"/>
      <c r="Q61" s="161"/>
      <c r="X61" s="4"/>
    </row>
    <row r="62" spans="3:24" x14ac:dyDescent="0.25">
      <c r="C62" s="125" t="s">
        <v>259</v>
      </c>
      <c r="D62" s="188">
        <v>1818</v>
      </c>
      <c r="E62" s="188">
        <v>410</v>
      </c>
      <c r="F62" s="188">
        <v>6086</v>
      </c>
      <c r="G62" s="188">
        <v>9651</v>
      </c>
      <c r="H62" s="188">
        <v>11387</v>
      </c>
      <c r="I62" s="188">
        <v>22599</v>
      </c>
      <c r="J62" s="188">
        <v>33273</v>
      </c>
      <c r="K62" s="188">
        <v>6244</v>
      </c>
      <c r="L62" s="188">
        <v>1094</v>
      </c>
      <c r="M62" s="188">
        <v>1727</v>
      </c>
      <c r="N62" s="188">
        <v>4558</v>
      </c>
      <c r="O62" s="188">
        <v>137</v>
      </c>
      <c r="P62" s="188">
        <v>2222</v>
      </c>
      <c r="Q62" s="188">
        <v>3105</v>
      </c>
      <c r="R62" s="188">
        <v>0</v>
      </c>
      <c r="S62" s="188">
        <v>9127</v>
      </c>
      <c r="T62" s="188">
        <v>1577</v>
      </c>
      <c r="U62" s="188">
        <v>0</v>
      </c>
      <c r="X62" s="4"/>
    </row>
    <row r="63" spans="3:24" x14ac:dyDescent="0.25">
      <c r="C63" s="125" t="s">
        <v>260</v>
      </c>
      <c r="D63" s="188">
        <v>363</v>
      </c>
      <c r="E63" s="188">
        <v>1689</v>
      </c>
      <c r="F63" s="188">
        <v>742</v>
      </c>
      <c r="G63" s="188">
        <v>0</v>
      </c>
      <c r="H63" s="188">
        <v>0</v>
      </c>
      <c r="I63" s="188">
        <v>0</v>
      </c>
      <c r="J63" s="188">
        <v>0</v>
      </c>
      <c r="K63" s="188">
        <v>0</v>
      </c>
      <c r="L63" s="188">
        <v>0</v>
      </c>
      <c r="M63" s="188">
        <v>0</v>
      </c>
      <c r="N63" s="188">
        <v>3</v>
      </c>
      <c r="O63" s="188">
        <v>4</v>
      </c>
      <c r="P63" s="188">
        <v>25</v>
      </c>
      <c r="Q63" s="188">
        <v>8</v>
      </c>
      <c r="R63" s="188">
        <v>452</v>
      </c>
      <c r="S63" s="188">
        <v>0</v>
      </c>
      <c r="T63" s="188">
        <v>6</v>
      </c>
      <c r="U63" s="188">
        <v>273</v>
      </c>
      <c r="X63" s="4"/>
    </row>
    <row r="64" spans="3:24" x14ac:dyDescent="0.25">
      <c r="C64" s="125" t="s">
        <v>261</v>
      </c>
      <c r="D64" s="188">
        <v>0</v>
      </c>
      <c r="E64" s="188">
        <v>0</v>
      </c>
      <c r="F64" s="188">
        <v>0</v>
      </c>
      <c r="G64" s="188">
        <v>0</v>
      </c>
      <c r="H64" s="188">
        <v>0</v>
      </c>
      <c r="I64" s="188">
        <v>0</v>
      </c>
      <c r="J64" s="188">
        <v>0</v>
      </c>
      <c r="K64" s="188">
        <v>1363</v>
      </c>
      <c r="L64" s="188">
        <v>5733</v>
      </c>
      <c r="M64" s="188">
        <v>18981</v>
      </c>
      <c r="N64" s="188">
        <v>12191</v>
      </c>
      <c r="O64" s="188">
        <v>1717</v>
      </c>
      <c r="P64" s="188">
        <v>12744</v>
      </c>
      <c r="Q64" s="188">
        <v>9153</v>
      </c>
      <c r="R64" s="188">
        <v>8151</v>
      </c>
      <c r="S64" s="188">
        <v>12562</v>
      </c>
      <c r="T64" s="188">
        <v>0</v>
      </c>
      <c r="U64" s="188">
        <v>5736</v>
      </c>
      <c r="X64" s="4"/>
    </row>
    <row r="65" spans="3:24" x14ac:dyDescent="0.25">
      <c r="C65" s="125" t="s">
        <v>265</v>
      </c>
      <c r="D65" s="188">
        <v>0</v>
      </c>
      <c r="E65" s="188">
        <v>0</v>
      </c>
      <c r="F65" s="188">
        <v>0</v>
      </c>
      <c r="G65" s="188">
        <v>0</v>
      </c>
      <c r="H65" s="188">
        <v>0</v>
      </c>
      <c r="I65" s="188">
        <v>0</v>
      </c>
      <c r="J65" s="188">
        <v>357</v>
      </c>
      <c r="K65" s="188">
        <v>0</v>
      </c>
      <c r="L65" s="188">
        <v>0</v>
      </c>
      <c r="M65" s="188">
        <v>4313</v>
      </c>
      <c r="N65" s="188">
        <v>8086</v>
      </c>
      <c r="O65" s="188">
        <v>0</v>
      </c>
      <c r="P65" s="188">
        <v>0</v>
      </c>
      <c r="Q65" s="188">
        <v>0</v>
      </c>
      <c r="R65" s="188">
        <v>0</v>
      </c>
      <c r="S65" s="188">
        <v>0</v>
      </c>
      <c r="T65" s="188">
        <v>0</v>
      </c>
      <c r="U65" s="188">
        <v>0</v>
      </c>
      <c r="X65" s="4"/>
    </row>
    <row r="66" spans="3:24" x14ac:dyDescent="0.25">
      <c r="C66" s="189" t="s">
        <v>263</v>
      </c>
      <c r="D66" s="190">
        <f t="shared" ref="D66" si="0">+SUM(D62:D65)</f>
        <v>2181</v>
      </c>
      <c r="E66" s="190">
        <f t="shared" ref="E66:G66" si="1">+SUM(E62:E65)</f>
        <v>2099</v>
      </c>
      <c r="F66" s="190">
        <f t="shared" si="1"/>
        <v>6828</v>
      </c>
      <c r="G66" s="190">
        <f t="shared" si="1"/>
        <v>9651</v>
      </c>
      <c r="H66" s="190">
        <f t="shared" ref="H66:T66" si="2">+SUM(H62:H65)</f>
        <v>11387</v>
      </c>
      <c r="I66" s="190">
        <f t="shared" si="2"/>
        <v>22599</v>
      </c>
      <c r="J66" s="190">
        <f t="shared" si="2"/>
        <v>33630</v>
      </c>
      <c r="K66" s="190">
        <f t="shared" si="2"/>
        <v>7607</v>
      </c>
      <c r="L66" s="190">
        <f t="shared" si="2"/>
        <v>6827</v>
      </c>
      <c r="M66" s="190">
        <f t="shared" si="2"/>
        <v>25021</v>
      </c>
      <c r="N66" s="190">
        <f t="shared" si="2"/>
        <v>24838</v>
      </c>
      <c r="O66" s="190">
        <f t="shared" si="2"/>
        <v>1858</v>
      </c>
      <c r="P66" s="190">
        <f t="shared" si="2"/>
        <v>14991</v>
      </c>
      <c r="Q66" s="190">
        <f t="shared" si="2"/>
        <v>12266</v>
      </c>
      <c r="R66" s="190">
        <f t="shared" si="2"/>
        <v>8603</v>
      </c>
      <c r="S66" s="190">
        <f t="shared" si="2"/>
        <v>21689</v>
      </c>
      <c r="T66" s="190">
        <f t="shared" si="2"/>
        <v>1583</v>
      </c>
      <c r="U66" s="190">
        <f t="shared" ref="U66" si="3">+SUM(U62:U65)</f>
        <v>6009</v>
      </c>
      <c r="X66" s="4"/>
    </row>
    <row r="67" spans="3:24" x14ac:dyDescent="0.25">
      <c r="C67" s="125"/>
      <c r="D67" s="205"/>
      <c r="E67" s="205"/>
      <c r="F67" s="205"/>
      <c r="G67" s="205"/>
      <c r="H67" s="205"/>
      <c r="I67" s="205"/>
      <c r="J67" s="205"/>
      <c r="K67" s="205"/>
      <c r="L67" s="205"/>
      <c r="M67" s="205"/>
      <c r="N67" s="205"/>
      <c r="O67" s="205"/>
      <c r="P67" s="205"/>
      <c r="Q67" s="205"/>
      <c r="R67" s="205"/>
      <c r="S67" s="205"/>
      <c r="T67" s="205"/>
      <c r="U67" s="205"/>
      <c r="X67" s="4"/>
    </row>
    <row r="68" spans="3:24" x14ac:dyDescent="0.25">
      <c r="C68" s="125" t="s">
        <v>259</v>
      </c>
      <c r="D68" s="188">
        <v>1059</v>
      </c>
      <c r="E68" s="188">
        <v>215</v>
      </c>
      <c r="F68" s="188">
        <v>43</v>
      </c>
      <c r="G68" s="188">
        <v>0</v>
      </c>
      <c r="H68" s="188">
        <v>0</v>
      </c>
      <c r="I68" s="188">
        <v>0</v>
      </c>
      <c r="J68" s="188">
        <v>0</v>
      </c>
      <c r="K68" s="188">
        <v>5175</v>
      </c>
      <c r="L68" s="188">
        <v>7421</v>
      </c>
      <c r="M68" s="188">
        <v>6256</v>
      </c>
      <c r="N68" s="188">
        <v>1532</v>
      </c>
      <c r="O68" s="188">
        <v>4214</v>
      </c>
      <c r="P68" s="188">
        <v>554</v>
      </c>
      <c r="Q68" s="188">
        <v>429</v>
      </c>
      <c r="R68" s="188">
        <v>5026</v>
      </c>
      <c r="S68" s="188">
        <v>0</v>
      </c>
      <c r="T68" s="188">
        <v>2924</v>
      </c>
      <c r="U68" s="188">
        <v>13275</v>
      </c>
      <c r="X68" s="4"/>
    </row>
    <row r="69" spans="3:24" x14ac:dyDescent="0.25">
      <c r="C69" s="125" t="s">
        <v>260</v>
      </c>
      <c r="D69" s="188">
        <v>1258</v>
      </c>
      <c r="E69" s="188">
        <v>3398</v>
      </c>
      <c r="F69" s="188">
        <v>0</v>
      </c>
      <c r="G69" s="188">
        <v>3479</v>
      </c>
      <c r="H69" s="188">
        <v>0</v>
      </c>
      <c r="I69" s="188">
        <v>0</v>
      </c>
      <c r="J69" s="188">
        <v>0</v>
      </c>
      <c r="K69" s="188">
        <v>0</v>
      </c>
      <c r="L69" s="188">
        <v>11</v>
      </c>
      <c r="M69" s="188">
        <v>12</v>
      </c>
      <c r="N69" s="188">
        <v>31</v>
      </c>
      <c r="O69" s="188">
        <v>21</v>
      </c>
      <c r="P69" s="188">
        <v>50</v>
      </c>
      <c r="Q69" s="188">
        <v>137</v>
      </c>
      <c r="R69" s="188">
        <v>17</v>
      </c>
      <c r="S69" s="188">
        <v>30</v>
      </c>
      <c r="T69" s="188">
        <v>129</v>
      </c>
      <c r="U69" s="188">
        <v>138</v>
      </c>
    </row>
    <row r="70" spans="3:24" x14ac:dyDescent="0.25">
      <c r="C70" s="125" t="s">
        <v>261</v>
      </c>
      <c r="D70" s="188">
        <v>20467</v>
      </c>
      <c r="E70" s="188">
        <v>23654.252</v>
      </c>
      <c r="F70" s="188">
        <v>22255.864000000001</v>
      </c>
      <c r="G70" s="188">
        <v>18630</v>
      </c>
      <c r="H70" s="188">
        <v>16034</v>
      </c>
      <c r="I70" s="188">
        <v>4909</v>
      </c>
      <c r="J70" s="188">
        <v>265</v>
      </c>
      <c r="K70" s="188">
        <v>0</v>
      </c>
      <c r="L70" s="188">
        <v>8247</v>
      </c>
      <c r="M70" s="188">
        <v>0</v>
      </c>
      <c r="N70" s="188">
        <v>0</v>
      </c>
      <c r="O70" s="188">
        <v>0</v>
      </c>
      <c r="P70" s="188">
        <v>0</v>
      </c>
      <c r="Q70" s="188">
        <v>0</v>
      </c>
      <c r="R70" s="188">
        <v>0</v>
      </c>
      <c r="S70" s="188">
        <v>0</v>
      </c>
      <c r="T70" s="188">
        <v>2168</v>
      </c>
      <c r="U70" s="188">
        <v>0</v>
      </c>
    </row>
    <row r="71" spans="3:24" x14ac:dyDescent="0.25">
      <c r="C71" s="125" t="s">
        <v>262</v>
      </c>
      <c r="D71" s="188">
        <v>15764</v>
      </c>
      <c r="E71" s="188">
        <v>13005.092000000001</v>
      </c>
      <c r="F71" s="188">
        <v>10724.635</v>
      </c>
      <c r="G71" s="188">
        <v>8744</v>
      </c>
      <c r="H71" s="188">
        <v>5360</v>
      </c>
      <c r="I71" s="188">
        <v>1874</v>
      </c>
      <c r="J71" s="188">
        <v>0</v>
      </c>
      <c r="K71" s="188">
        <v>4593</v>
      </c>
      <c r="L71" s="188">
        <v>0</v>
      </c>
      <c r="M71" s="188">
        <v>0</v>
      </c>
      <c r="N71" s="188">
        <v>0</v>
      </c>
      <c r="O71" s="188">
        <v>23698</v>
      </c>
      <c r="P71" s="188">
        <v>10976</v>
      </c>
      <c r="Q71" s="188">
        <v>4306</v>
      </c>
      <c r="R71" s="188">
        <v>25536</v>
      </c>
      <c r="S71" s="188">
        <v>24877</v>
      </c>
      <c r="T71" s="188">
        <v>23273</v>
      </c>
      <c r="U71" s="188">
        <v>26263</v>
      </c>
    </row>
    <row r="72" spans="3:24" x14ac:dyDescent="0.25">
      <c r="C72" s="125" t="s">
        <v>277</v>
      </c>
      <c r="D72" s="188">
        <v>0</v>
      </c>
      <c r="E72" s="188">
        <v>0</v>
      </c>
      <c r="F72" s="188">
        <v>0</v>
      </c>
      <c r="G72" s="188">
        <v>0</v>
      </c>
      <c r="H72" s="188">
        <v>0</v>
      </c>
      <c r="I72" s="188">
        <v>0</v>
      </c>
      <c r="J72" s="188">
        <v>0</v>
      </c>
      <c r="K72" s="188">
        <v>0</v>
      </c>
      <c r="L72" s="188">
        <v>0</v>
      </c>
      <c r="M72" s="188">
        <v>0</v>
      </c>
      <c r="N72" s="188">
        <v>0</v>
      </c>
      <c r="O72" s="188">
        <v>0</v>
      </c>
      <c r="P72" s="188">
        <v>0</v>
      </c>
      <c r="Q72" s="188">
        <v>0</v>
      </c>
      <c r="R72" s="188">
        <v>0</v>
      </c>
      <c r="S72" s="188">
        <v>0</v>
      </c>
      <c r="T72" s="188">
        <v>0</v>
      </c>
      <c r="U72" s="188">
        <v>0</v>
      </c>
    </row>
    <row r="73" spans="3:24" x14ac:dyDescent="0.25">
      <c r="C73" s="189" t="s">
        <v>264</v>
      </c>
      <c r="D73" s="190">
        <f t="shared" ref="D73:T73" si="4">+SUM(D68:D72)</f>
        <v>38548</v>
      </c>
      <c r="E73" s="190">
        <f t="shared" si="4"/>
        <v>40272.343999999997</v>
      </c>
      <c r="F73" s="190">
        <f t="shared" si="4"/>
        <v>33023.499000000003</v>
      </c>
      <c r="G73" s="190">
        <f t="shared" si="4"/>
        <v>30853</v>
      </c>
      <c r="H73" s="190">
        <f t="shared" si="4"/>
        <v>21394</v>
      </c>
      <c r="I73" s="190">
        <f t="shared" si="4"/>
        <v>6783</v>
      </c>
      <c r="J73" s="190">
        <f t="shared" si="4"/>
        <v>265</v>
      </c>
      <c r="K73" s="190">
        <f t="shared" si="4"/>
        <v>9768</v>
      </c>
      <c r="L73" s="190">
        <f t="shared" si="4"/>
        <v>15679</v>
      </c>
      <c r="M73" s="190">
        <f t="shared" si="4"/>
        <v>6268</v>
      </c>
      <c r="N73" s="190">
        <f t="shared" si="4"/>
        <v>1563</v>
      </c>
      <c r="O73" s="190">
        <f t="shared" si="4"/>
        <v>27933</v>
      </c>
      <c r="P73" s="190">
        <f t="shared" si="4"/>
        <v>11580</v>
      </c>
      <c r="Q73" s="190">
        <f t="shared" si="4"/>
        <v>4872</v>
      </c>
      <c r="R73" s="190">
        <f t="shared" si="4"/>
        <v>30579</v>
      </c>
      <c r="S73" s="190">
        <f t="shared" si="4"/>
        <v>24907</v>
      </c>
      <c r="T73" s="190">
        <f t="shared" si="4"/>
        <v>28494</v>
      </c>
      <c r="U73" s="190">
        <f t="shared" ref="U73" si="5">+SUM(U68:U72)</f>
        <v>39676</v>
      </c>
    </row>
    <row r="74" spans="3:24" x14ac:dyDescent="0.25">
      <c r="C74" s="121"/>
      <c r="D74" s="205"/>
      <c r="E74" s="205"/>
      <c r="F74" s="205"/>
      <c r="G74" s="205"/>
      <c r="H74" s="205"/>
      <c r="I74" s="205"/>
      <c r="J74" s="205"/>
      <c r="K74" s="205"/>
      <c r="L74" s="205"/>
      <c r="M74" s="205"/>
      <c r="N74" s="205"/>
      <c r="O74" s="205"/>
      <c r="P74" s="205"/>
      <c r="Q74" s="205"/>
      <c r="R74" s="205"/>
      <c r="S74" s="205"/>
      <c r="T74" s="205"/>
      <c r="U74" s="205"/>
    </row>
    <row r="75" spans="3:24" x14ac:dyDescent="0.25">
      <c r="C75" s="258" t="s">
        <v>370</v>
      </c>
      <c r="D75" s="172"/>
      <c r="E75" s="172"/>
      <c r="F75" s="172"/>
      <c r="G75" s="172"/>
      <c r="H75" s="172"/>
      <c r="I75" s="172"/>
      <c r="J75" s="172"/>
      <c r="K75" s="172"/>
      <c r="L75" s="172"/>
      <c r="M75" s="172"/>
      <c r="N75" s="172"/>
      <c r="O75" s="172"/>
      <c r="P75" s="172"/>
      <c r="Q75" s="172"/>
      <c r="R75" s="172"/>
      <c r="S75" s="172"/>
      <c r="T75" s="172"/>
      <c r="U75" s="172"/>
    </row>
    <row r="76" spans="3:24" x14ac:dyDescent="0.25">
      <c r="C76" s="125" t="s">
        <v>230</v>
      </c>
      <c r="D76" s="172">
        <v>29192.812583835926</v>
      </c>
      <c r="E76" s="209">
        <v>27984.720378849612</v>
      </c>
      <c r="F76" s="209">
        <v>37049.481497608911</v>
      </c>
      <c r="G76" s="209">
        <v>46335.671652536337</v>
      </c>
      <c r="H76" s="172">
        <v>43554.50930223777</v>
      </c>
      <c r="I76" s="172">
        <v>47860.708294235403</v>
      </c>
      <c r="J76" s="172">
        <v>49546.910660534573</v>
      </c>
      <c r="K76" s="172">
        <v>87846.961025497061</v>
      </c>
      <c r="L76" s="172">
        <v>139271.33503230009</v>
      </c>
      <c r="M76" s="172">
        <v>119829.55177347182</v>
      </c>
      <c r="N76" s="172">
        <v>114908.74000292647</v>
      </c>
      <c r="O76" s="172">
        <v>112148</v>
      </c>
      <c r="P76" s="172">
        <v>99478.464764785283</v>
      </c>
      <c r="Q76" s="172">
        <v>99086.427303722361</v>
      </c>
      <c r="R76" s="172">
        <v>75072.656544476631</v>
      </c>
      <c r="S76" s="172"/>
      <c r="T76" s="172"/>
      <c r="U76" s="172"/>
    </row>
    <row r="77" spans="3:24" x14ac:dyDescent="0.25">
      <c r="C77" s="125" t="s">
        <v>232</v>
      </c>
      <c r="D77" s="172">
        <v>38220.63806227118</v>
      </c>
      <c r="E77" s="209">
        <v>62750.361531533345</v>
      </c>
      <c r="F77" s="209">
        <v>87637.588443192202</v>
      </c>
      <c r="G77" s="209">
        <v>109683.87688857008</v>
      </c>
      <c r="H77" s="172">
        <v>128969.03260641312</v>
      </c>
      <c r="I77" s="172">
        <v>151334.37112496071</v>
      </c>
      <c r="J77" s="172">
        <v>169237.11620067083</v>
      </c>
      <c r="K77" s="172">
        <v>204764.30491236219</v>
      </c>
      <c r="L77" s="172">
        <v>289349.39531749056</v>
      </c>
      <c r="M77" s="172">
        <v>290257.69694957067</v>
      </c>
      <c r="N77" s="172">
        <v>294827.36704376061</v>
      </c>
      <c r="O77" s="172">
        <v>307865</v>
      </c>
      <c r="P77" s="172">
        <v>311580.86306898296</v>
      </c>
      <c r="Q77" s="172">
        <v>322317.24424839369</v>
      </c>
      <c r="R77" s="172">
        <v>315338.24791535572</v>
      </c>
      <c r="S77" s="172"/>
      <c r="T77" s="172"/>
      <c r="U77" s="172"/>
    </row>
    <row r="78" spans="3:24" x14ac:dyDescent="0.25">
      <c r="C78" s="125" t="s">
        <v>231</v>
      </c>
      <c r="D78" s="172">
        <v>-9027.8254784352648</v>
      </c>
      <c r="E78" s="209">
        <v>-34765.64115268374</v>
      </c>
      <c r="F78" s="209">
        <v>-50588.106945583284</v>
      </c>
      <c r="G78" s="209">
        <v>-63348.205236033762</v>
      </c>
      <c r="H78" s="172">
        <v>-85414.523304175658</v>
      </c>
      <c r="I78" s="172">
        <v>-103473.66283072492</v>
      </c>
      <c r="J78" s="172">
        <v>-119691.27202946859</v>
      </c>
      <c r="K78" s="172">
        <v>-116916.47749311294</v>
      </c>
      <c r="L78" s="172">
        <v>-150078.52645726968</v>
      </c>
      <c r="M78" s="172">
        <v>-170428.41509839974</v>
      </c>
      <c r="N78" s="172">
        <v>-179918.20778782319</v>
      </c>
      <c r="O78" s="172">
        <v>-195717</v>
      </c>
      <c r="P78" s="172">
        <v>-212103.36809688041</v>
      </c>
      <c r="Q78" s="172">
        <v>-223230.57661816818</v>
      </c>
      <c r="R78" s="172">
        <v>-240266.41499237102</v>
      </c>
      <c r="S78" s="172"/>
      <c r="T78" s="172"/>
      <c r="U78" s="172"/>
    </row>
    <row r="79" spans="3:24" ht="9.9499999999999993" customHeight="1" x14ac:dyDescent="0.25">
      <c r="C79" s="125"/>
      <c r="D79" s="206"/>
      <c r="E79" s="206"/>
      <c r="F79" s="206"/>
      <c r="G79" s="206"/>
      <c r="H79" s="206"/>
      <c r="I79" s="206"/>
      <c r="J79" s="206"/>
      <c r="K79" s="206"/>
      <c r="L79" s="206"/>
      <c r="M79" s="206"/>
      <c r="N79" s="206"/>
      <c r="O79" s="206"/>
      <c r="P79" s="206"/>
      <c r="Q79" s="206"/>
      <c r="R79" s="206"/>
      <c r="S79" s="206"/>
      <c r="T79" s="206"/>
      <c r="U79" s="206"/>
    </row>
    <row r="80" spans="3:24" x14ac:dyDescent="0.25">
      <c r="C80" s="179" t="s">
        <v>234</v>
      </c>
      <c r="D80" s="172"/>
      <c r="E80" s="172"/>
      <c r="F80" s="172"/>
      <c r="G80" s="172"/>
      <c r="H80" s="172"/>
      <c r="I80" s="172"/>
      <c r="J80" s="172"/>
      <c r="K80" s="172"/>
      <c r="L80" s="172"/>
      <c r="M80" s="172"/>
      <c r="N80" s="172"/>
      <c r="O80" s="172"/>
      <c r="P80" s="172"/>
      <c r="Q80" s="172"/>
      <c r="R80" s="172"/>
      <c r="S80" s="172"/>
      <c r="T80" s="172"/>
      <c r="U80" s="172"/>
    </row>
    <row r="81" spans="3:21" x14ac:dyDescent="0.25">
      <c r="C81" s="257" t="s">
        <v>374</v>
      </c>
      <c r="D81" s="172">
        <v>14763.447</v>
      </c>
      <c r="E81" s="172">
        <v>24425.295999999998</v>
      </c>
      <c r="F81" s="172">
        <v>34282.623</v>
      </c>
      <c r="G81" s="172">
        <v>48864.057000000001</v>
      </c>
      <c r="H81" s="172">
        <v>49681.928</v>
      </c>
      <c r="I81" s="172">
        <v>57438.811999999998</v>
      </c>
      <c r="J81" s="172">
        <v>63238.597999999998</v>
      </c>
      <c r="K81" s="172">
        <v>74446.051999999996</v>
      </c>
      <c r="L81" s="172">
        <v>117833.20600000001</v>
      </c>
      <c r="M81" s="172">
        <v>127498.798</v>
      </c>
      <c r="N81" s="172">
        <v>138601.057</v>
      </c>
      <c r="O81" s="172">
        <v>144851.11900000001</v>
      </c>
      <c r="P81" s="172">
        <v>222166.052</v>
      </c>
      <c r="Q81" s="172">
        <v>187710.08199999999</v>
      </c>
      <c r="R81" s="172">
        <v>149460.57699999999</v>
      </c>
      <c r="S81" s="172">
        <v>114101</v>
      </c>
      <c r="T81" s="172">
        <v>126432.596323215</v>
      </c>
      <c r="U81" s="172">
        <v>105207.82286764801</v>
      </c>
    </row>
    <row r="82" spans="3:21" x14ac:dyDescent="0.25">
      <c r="C82" s="257" t="s">
        <v>367</v>
      </c>
      <c r="D82" s="172">
        <v>23457.190999999999</v>
      </c>
      <c r="E82" s="172">
        <v>38325.065999999999</v>
      </c>
      <c r="F82" s="172">
        <v>53354.966</v>
      </c>
      <c r="G82" s="172">
        <v>60819.82</v>
      </c>
      <c r="H82" s="172">
        <v>79287.104000000007</v>
      </c>
      <c r="I82" s="172">
        <v>93895.558999999994</v>
      </c>
      <c r="J82" s="172">
        <v>105999.35400000001</v>
      </c>
      <c r="K82" s="172">
        <v>130318.61900000001</v>
      </c>
      <c r="L82" s="172">
        <v>171516.33100000001</v>
      </c>
      <c r="M82" s="172">
        <v>162758.76800000001</v>
      </c>
      <c r="N82" s="172">
        <v>156226.158</v>
      </c>
      <c r="O82" s="172">
        <v>163014.15299999999</v>
      </c>
      <c r="P82" s="172">
        <v>89414.698000000004</v>
      </c>
      <c r="Q82" s="172">
        <v>134606.755</v>
      </c>
      <c r="R82" s="172">
        <v>165877.429</v>
      </c>
      <c r="S82" s="172">
        <v>175348</v>
      </c>
      <c r="T82" s="172">
        <v>138134.04029678501</v>
      </c>
      <c r="U82" s="172">
        <v>156055.28269235199</v>
      </c>
    </row>
    <row r="83" spans="3:21" x14ac:dyDescent="0.25">
      <c r="C83" s="189" t="s">
        <v>5</v>
      </c>
      <c r="D83" s="190">
        <f t="shared" ref="D83:T83" si="6">D81+D82</f>
        <v>38220.637999999999</v>
      </c>
      <c r="E83" s="190">
        <f t="shared" si="6"/>
        <v>62750.361999999994</v>
      </c>
      <c r="F83" s="190">
        <f t="shared" si="6"/>
        <v>87637.589000000007</v>
      </c>
      <c r="G83" s="190">
        <f t="shared" si="6"/>
        <v>109683.87700000001</v>
      </c>
      <c r="H83" s="190">
        <f t="shared" si="6"/>
        <v>128969.03200000001</v>
      </c>
      <c r="I83" s="190">
        <f t="shared" si="6"/>
        <v>151334.37099999998</v>
      </c>
      <c r="J83" s="190">
        <f t="shared" si="6"/>
        <v>169237.95199999999</v>
      </c>
      <c r="K83" s="190">
        <f t="shared" si="6"/>
        <v>204764.671</v>
      </c>
      <c r="L83" s="190">
        <f t="shared" si="6"/>
        <v>289349.53700000001</v>
      </c>
      <c r="M83" s="190">
        <f t="shared" si="6"/>
        <v>290257.56599999999</v>
      </c>
      <c r="N83" s="190">
        <f t="shared" si="6"/>
        <v>294827.21499999997</v>
      </c>
      <c r="O83" s="190">
        <f t="shared" si="6"/>
        <v>307865.272</v>
      </c>
      <c r="P83" s="190">
        <f t="shared" si="6"/>
        <v>311580.75</v>
      </c>
      <c r="Q83" s="190">
        <f t="shared" si="6"/>
        <v>322316.837</v>
      </c>
      <c r="R83" s="190">
        <f t="shared" si="6"/>
        <v>315338.00599999999</v>
      </c>
      <c r="S83" s="190">
        <f t="shared" si="6"/>
        <v>289449</v>
      </c>
      <c r="T83" s="190">
        <f t="shared" si="6"/>
        <v>264566.63662</v>
      </c>
      <c r="U83" s="190">
        <f>U81+U82</f>
        <v>261263.10556</v>
      </c>
    </row>
    <row r="84" spans="3:21" ht="9.9499999999999993" customHeight="1" x14ac:dyDescent="0.25">
      <c r="C84" s="125"/>
      <c r="D84" s="206"/>
      <c r="E84" s="206"/>
      <c r="F84" s="206"/>
      <c r="G84" s="206"/>
      <c r="H84" s="206"/>
      <c r="I84" s="206"/>
      <c r="J84" s="206"/>
      <c r="K84" s="206"/>
      <c r="L84" s="206"/>
      <c r="M84" s="206"/>
      <c r="N84" s="206"/>
      <c r="O84" s="206"/>
      <c r="P84" s="206"/>
      <c r="Q84" s="206"/>
      <c r="R84" s="206"/>
      <c r="S84" s="206"/>
      <c r="T84" s="206"/>
      <c r="U84" s="206"/>
    </row>
    <row r="85" spans="3:21" x14ac:dyDescent="0.25">
      <c r="C85" s="299" t="s">
        <v>285</v>
      </c>
      <c r="D85" s="122"/>
      <c r="E85" s="122"/>
      <c r="F85" s="122"/>
      <c r="G85" s="122"/>
      <c r="H85" s="122"/>
      <c r="I85" s="122"/>
      <c r="J85" s="122"/>
      <c r="K85" s="122"/>
      <c r="L85" s="122"/>
      <c r="M85" s="122"/>
      <c r="N85" s="122"/>
      <c r="O85" s="122"/>
      <c r="P85" s="161"/>
      <c r="Q85" s="161"/>
      <c r="R85" s="161"/>
      <c r="S85" s="161"/>
      <c r="T85" s="161"/>
      <c r="U85" s="161"/>
    </row>
    <row r="86" spans="3:21" x14ac:dyDescent="0.25">
      <c r="C86" s="125" t="s">
        <v>3</v>
      </c>
      <c r="D86" s="178">
        <v>7754373</v>
      </c>
      <c r="E86" s="178">
        <v>7752942</v>
      </c>
      <c r="F86" s="178">
        <v>7753738</v>
      </c>
      <c r="G86" s="178">
        <v>7753556</v>
      </c>
      <c r="H86" s="178">
        <v>7750650.767</v>
      </c>
      <c r="I86" s="178">
        <v>7752367.4100000001</v>
      </c>
      <c r="J86" s="178">
        <v>7752385.6969999997</v>
      </c>
      <c r="K86" s="178">
        <v>7585123.7790000001</v>
      </c>
      <c r="L86" s="178">
        <v>7516749.3689999999</v>
      </c>
      <c r="M86" s="178">
        <v>7432314.227</v>
      </c>
      <c r="N86" s="178">
        <v>7482008.1969999997</v>
      </c>
      <c r="O86" s="178">
        <v>7538917.142</v>
      </c>
      <c r="P86" s="178">
        <v>7451779.1509999996</v>
      </c>
      <c r="Q86" s="178">
        <v>7494521.2690000003</v>
      </c>
      <c r="R86" s="178">
        <v>7486164.1260000002</v>
      </c>
      <c r="S86" s="178">
        <v>7462582.7999999998</v>
      </c>
      <c r="T86" s="178">
        <v>7563423</v>
      </c>
      <c r="U86" s="178">
        <v>7496682.9999999953</v>
      </c>
    </row>
    <row r="87" spans="3:21" x14ac:dyDescent="0.25">
      <c r="C87" s="125" t="s">
        <v>34</v>
      </c>
      <c r="D87" s="178">
        <v>4748034.3779999996</v>
      </c>
      <c r="E87" s="178">
        <v>4657620.3880000003</v>
      </c>
      <c r="F87" s="178">
        <v>4591835.1270000003</v>
      </c>
      <c r="G87" s="178">
        <v>4405980.7240000004</v>
      </c>
      <c r="H87" s="178">
        <v>4312471.3190000001</v>
      </c>
      <c r="I87" s="178">
        <v>4219882.8229999999</v>
      </c>
      <c r="J87" s="178">
        <v>4120844.2659999998</v>
      </c>
      <c r="K87" s="178">
        <v>3938485.2889999999</v>
      </c>
      <c r="L87" s="178">
        <v>3799413.5860000001</v>
      </c>
      <c r="M87" s="178">
        <v>3660046.5350000001</v>
      </c>
      <c r="N87" s="178">
        <v>3583249.8760000002</v>
      </c>
      <c r="O87" s="178">
        <v>3505731.66</v>
      </c>
      <c r="P87" s="178">
        <v>3358451.52</v>
      </c>
      <c r="Q87" s="178">
        <v>3267702.298</v>
      </c>
      <c r="R87" s="178">
        <v>3156326.747</v>
      </c>
      <c r="S87" s="178">
        <v>3037525.6540000001</v>
      </c>
      <c r="T87" s="178">
        <v>2979633.557</v>
      </c>
      <c r="U87" s="178">
        <v>2839188.8472467391</v>
      </c>
    </row>
    <row r="88" spans="3:21" x14ac:dyDescent="0.25">
      <c r="C88" s="125" t="s">
        <v>35</v>
      </c>
      <c r="D88" s="178">
        <v>1065372.7</v>
      </c>
      <c r="E88" s="178">
        <v>1068110.8</v>
      </c>
      <c r="F88" s="178">
        <v>1069077.8999999999</v>
      </c>
      <c r="G88" s="178">
        <v>1070105</v>
      </c>
      <c r="H88" s="178">
        <v>1113575.4920000001</v>
      </c>
      <c r="I88" s="178">
        <v>1108019.73</v>
      </c>
      <c r="J88" s="178">
        <v>1101390.216</v>
      </c>
      <c r="K88" s="178">
        <v>1096892.2830000001</v>
      </c>
      <c r="L88" s="178">
        <v>1091277.9369999999</v>
      </c>
      <c r="M88" s="178">
        <v>1084843.672</v>
      </c>
      <c r="N88" s="178">
        <v>1077288.963</v>
      </c>
      <c r="O88" s="178">
        <v>1069323.6170000001</v>
      </c>
      <c r="P88" s="178">
        <v>1062209.6580000001</v>
      </c>
      <c r="Q88" s="178">
        <v>1055152.99</v>
      </c>
      <c r="R88" s="178">
        <v>1047321.862</v>
      </c>
      <c r="S88" s="178">
        <v>1039529.848</v>
      </c>
      <c r="T88" s="178">
        <v>1031646</v>
      </c>
      <c r="U88" s="178">
        <v>1023544.9999999995</v>
      </c>
    </row>
    <row r="89" spans="3:21" ht="9.75" customHeight="1" x14ac:dyDescent="0.25">
      <c r="C89" s="121"/>
      <c r="D89" s="122"/>
      <c r="E89" s="122"/>
      <c r="F89" s="122"/>
      <c r="G89" s="122"/>
      <c r="H89" s="122"/>
      <c r="I89" s="122"/>
      <c r="J89" s="122"/>
      <c r="K89" s="122"/>
      <c r="L89" s="122"/>
      <c r="M89" s="122"/>
      <c r="N89" s="122"/>
      <c r="O89" s="122"/>
      <c r="P89" s="122"/>
      <c r="Q89" s="122"/>
      <c r="R89" s="122"/>
      <c r="S89" s="122"/>
      <c r="T89" s="122"/>
      <c r="U89" s="122"/>
    </row>
    <row r="90" spans="3:21" x14ac:dyDescent="0.25">
      <c r="C90" s="69" t="s">
        <v>92</v>
      </c>
      <c r="D90" s="155"/>
      <c r="E90" s="155"/>
      <c r="F90" s="155"/>
      <c r="G90" s="155"/>
      <c r="H90" s="155"/>
      <c r="I90" s="155"/>
      <c r="J90" s="155"/>
      <c r="K90" s="155"/>
      <c r="L90" s="155"/>
      <c r="M90" s="155"/>
      <c r="N90" s="155"/>
      <c r="O90" s="155"/>
      <c r="P90" s="155"/>
      <c r="Q90" s="155"/>
      <c r="S90" s="134"/>
      <c r="T90" s="155"/>
    </row>
    <row r="91" spans="3:21" s="248" customFormat="1" ht="29.25" customHeight="1" x14ac:dyDescent="0.25">
      <c r="C91" s="307" t="s">
        <v>219</v>
      </c>
      <c r="D91" s="307"/>
      <c r="E91" s="307"/>
      <c r="F91" s="307"/>
      <c r="G91" s="307"/>
      <c r="H91" s="307"/>
      <c r="I91" s="307"/>
      <c r="J91" s="307"/>
      <c r="K91" s="307"/>
      <c r="L91" s="307"/>
      <c r="M91" s="307"/>
      <c r="N91" s="307"/>
      <c r="O91" s="307"/>
      <c r="P91" s="307"/>
      <c r="Q91" s="307"/>
      <c r="R91" s="307"/>
      <c r="S91" s="307"/>
      <c r="T91" s="307"/>
      <c r="U91" s="307"/>
    </row>
    <row r="92" spans="3:21" ht="15" customHeight="1" x14ac:dyDescent="0.25">
      <c r="C92" s="68" t="s">
        <v>291</v>
      </c>
      <c r="D92" s="107"/>
      <c r="E92" s="107"/>
      <c r="F92" s="107"/>
      <c r="G92" s="107"/>
      <c r="H92" s="107"/>
      <c r="I92" s="107"/>
      <c r="J92" s="107"/>
      <c r="K92" s="107"/>
      <c r="L92" s="107"/>
      <c r="M92" s="107"/>
      <c r="N92" s="107"/>
      <c r="O92" s="107"/>
      <c r="P92" s="107"/>
      <c r="Q92" s="107"/>
      <c r="S92" s="134"/>
    </row>
    <row r="93" spans="3:21" ht="14.25" customHeight="1" x14ac:dyDescent="0.25">
      <c r="C93" s="68" t="s">
        <v>233</v>
      </c>
      <c r="D93" s="107"/>
      <c r="E93" s="107"/>
      <c r="F93" s="107"/>
      <c r="G93" s="107"/>
      <c r="H93" s="107"/>
      <c r="I93" s="107"/>
      <c r="J93" s="107"/>
      <c r="K93" s="107"/>
      <c r="L93" s="107"/>
      <c r="M93" s="107"/>
      <c r="N93" s="107"/>
      <c r="O93" s="107"/>
      <c r="P93" s="107"/>
      <c r="Q93" s="107"/>
      <c r="R93" s="107"/>
      <c r="S93" s="107"/>
      <c r="T93" s="107"/>
      <c r="U93" s="107"/>
    </row>
    <row r="94" spans="3:21" ht="14.25" customHeight="1" x14ac:dyDescent="0.25">
      <c r="C94" s="68" t="s">
        <v>283</v>
      </c>
      <c r="D94" s="107"/>
      <c r="E94" s="107"/>
      <c r="F94" s="107"/>
      <c r="G94" s="107"/>
      <c r="H94" s="107"/>
      <c r="I94" s="107"/>
      <c r="J94" s="107"/>
      <c r="K94" s="107"/>
      <c r="L94" s="107"/>
      <c r="M94" s="107"/>
      <c r="N94" s="107"/>
      <c r="O94" s="107"/>
      <c r="P94" s="107"/>
      <c r="Q94" s="107"/>
    </row>
    <row r="95" spans="3:21" ht="35.1" customHeight="1" x14ac:dyDescent="0.25">
      <c r="C95" s="307" t="s">
        <v>288</v>
      </c>
      <c r="D95" s="309"/>
      <c r="E95" s="309"/>
      <c r="F95" s="309"/>
      <c r="G95" s="309"/>
      <c r="H95" s="309"/>
      <c r="I95" s="309"/>
      <c r="J95" s="309"/>
      <c r="K95" s="309"/>
      <c r="L95" s="309"/>
      <c r="M95" s="309"/>
      <c r="N95" s="309"/>
      <c r="O95" s="309"/>
      <c r="P95" s="309"/>
      <c r="Q95" s="309"/>
      <c r="R95" s="309"/>
      <c r="S95" s="309"/>
      <c r="T95" s="309"/>
      <c r="U95" s="309"/>
    </row>
    <row r="96" spans="3:21" ht="15" customHeight="1" x14ac:dyDescent="0.25">
      <c r="C96" s="68" t="s">
        <v>373</v>
      </c>
    </row>
    <row r="97" spans="3:3" ht="15" customHeight="1" x14ac:dyDescent="0.25">
      <c r="C97" s="68" t="s">
        <v>362</v>
      </c>
    </row>
  </sheetData>
  <mergeCells count="2">
    <mergeCell ref="C91:U91"/>
    <mergeCell ref="C95:U95"/>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rowBreaks count="2" manualBreakCount="2">
    <brk id="30" min="1" max="44" man="1"/>
    <brk id="60" min="1"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T65"/>
  <sheetViews>
    <sheetView showGridLines="0" view="pageBreakPreview" zoomScaleNormal="90" zoomScaleSheetLayoutView="100" workbookViewId="0"/>
  </sheetViews>
  <sheetFormatPr defaultColWidth="9.140625" defaultRowHeight="15" x14ac:dyDescent="0.25"/>
  <cols>
    <col min="1" max="1" width="1.42578125" customWidth="1"/>
    <col min="2" max="2" width="1.140625" customWidth="1"/>
    <col min="3" max="3" width="40.7109375" customWidth="1"/>
    <col min="4" max="17" width="11.5703125" customWidth="1"/>
    <col min="18" max="18" width="1.7109375" customWidth="1"/>
  </cols>
  <sheetData>
    <row r="1" spans="3:20" ht="6.75" customHeight="1" x14ac:dyDescent="0.25"/>
    <row r="2" spans="3:20" s="3" customFormat="1" ht="15.75" x14ac:dyDescent="0.25">
      <c r="C2" s="112" t="s">
        <v>135</v>
      </c>
    </row>
    <row r="3" spans="3:20" s="3" customFormat="1" ht="15.75" x14ac:dyDescent="0.25">
      <c r="C3" s="112"/>
    </row>
    <row r="4" spans="3:20" x14ac:dyDescent="0.25">
      <c r="C4" s="240"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row>
    <row r="5" spans="3:20" ht="9.9499999999999993" customHeight="1" x14ac:dyDescent="0.25">
      <c r="C5" s="135"/>
      <c r="D5" s="216"/>
      <c r="E5" s="215"/>
      <c r="F5" s="215"/>
      <c r="G5" s="215"/>
      <c r="H5" s="215"/>
      <c r="I5" s="215"/>
      <c r="J5" s="216"/>
      <c r="K5" s="217"/>
      <c r="L5" s="217"/>
      <c r="M5" s="217"/>
    </row>
    <row r="6" spans="3:20" s="222" customFormat="1" ht="15" customHeight="1" x14ac:dyDescent="0.2">
      <c r="C6" s="221"/>
      <c r="D6" s="170" t="s">
        <v>62</v>
      </c>
      <c r="E6" s="170" t="s">
        <v>72</v>
      </c>
      <c r="F6" s="170" t="s">
        <v>71</v>
      </c>
      <c r="G6" s="170" t="s">
        <v>70</v>
      </c>
      <c r="H6" s="170" t="s">
        <v>66</v>
      </c>
      <c r="I6" s="170" t="s">
        <v>67</v>
      </c>
      <c r="J6" s="170" t="s">
        <v>68</v>
      </c>
      <c r="K6" s="170" t="s">
        <v>69</v>
      </c>
      <c r="L6" s="170" t="s">
        <v>65</v>
      </c>
      <c r="M6" s="170" t="s">
        <v>64</v>
      </c>
      <c r="N6" s="170" t="s">
        <v>63</v>
      </c>
      <c r="O6" s="170" t="s">
        <v>203</v>
      </c>
      <c r="P6" s="170" t="s">
        <v>279</v>
      </c>
      <c r="Q6" s="170" t="s">
        <v>409</v>
      </c>
    </row>
    <row r="7" spans="3:20" s="4" customFormat="1" ht="17.850000000000001" customHeight="1" thickBot="1" x14ac:dyDescent="0.25">
      <c r="C7" s="136" t="s">
        <v>30</v>
      </c>
      <c r="D7" s="114" t="s">
        <v>75</v>
      </c>
      <c r="E7" s="114" t="s">
        <v>76</v>
      </c>
      <c r="F7" s="114" t="s">
        <v>77</v>
      </c>
      <c r="G7" s="114" t="s">
        <v>78</v>
      </c>
      <c r="H7" s="114" t="s">
        <v>79</v>
      </c>
      <c r="I7" s="114" t="s">
        <v>80</v>
      </c>
      <c r="J7" s="114" t="s">
        <v>81</v>
      </c>
      <c r="K7" s="114" t="s">
        <v>82</v>
      </c>
      <c r="L7" s="114" t="s">
        <v>83</v>
      </c>
      <c r="M7" s="114" t="s">
        <v>84</v>
      </c>
      <c r="N7" s="114" t="s">
        <v>85</v>
      </c>
      <c r="O7" s="114" t="s">
        <v>204</v>
      </c>
      <c r="P7" s="114" t="s">
        <v>280</v>
      </c>
      <c r="Q7" s="114" t="s">
        <v>410</v>
      </c>
    </row>
    <row r="8" spans="3:20" ht="15.75" thickTop="1" x14ac:dyDescent="0.25">
      <c r="C8" s="137" t="s">
        <v>102</v>
      </c>
      <c r="D8" s="115"/>
      <c r="E8" s="115"/>
      <c r="F8" s="115"/>
      <c r="G8" s="115"/>
      <c r="H8" s="115"/>
      <c r="I8" s="115"/>
      <c r="J8" s="115"/>
      <c r="K8" s="115"/>
      <c r="L8" s="115"/>
      <c r="M8" s="115"/>
      <c r="N8" s="115"/>
      <c r="O8" s="115"/>
      <c r="P8" s="115"/>
      <c r="Q8" s="115"/>
    </row>
    <row r="9" spans="3:20" x14ac:dyDescent="0.25">
      <c r="C9" s="117" t="s">
        <v>57</v>
      </c>
      <c r="D9" s="118">
        <v>35487.300568074395</v>
      </c>
      <c r="E9" s="118">
        <v>26990.868288830403</v>
      </c>
      <c r="F9" s="118">
        <v>48565.371351699199</v>
      </c>
      <c r="G9" s="118">
        <v>22806.459791396002</v>
      </c>
      <c r="H9" s="118">
        <v>58123.506352183795</v>
      </c>
      <c r="I9" s="118">
        <v>52741.193233260208</v>
      </c>
      <c r="J9" s="118">
        <v>60660.362541619979</v>
      </c>
      <c r="K9" s="118">
        <v>41510.937872936018</v>
      </c>
      <c r="L9" s="118">
        <v>80123.437254426593</v>
      </c>
      <c r="M9" s="118">
        <v>76643.232753553399</v>
      </c>
      <c r="N9" s="118">
        <v>86412.949233643012</v>
      </c>
      <c r="O9" s="118">
        <v>64246.380758376996</v>
      </c>
      <c r="P9" s="118">
        <v>100950.325054227</v>
      </c>
      <c r="Q9" s="118">
        <v>96777.100295435986</v>
      </c>
    </row>
    <row r="10" spans="3:20" x14ac:dyDescent="0.25">
      <c r="C10" s="117" t="s">
        <v>103</v>
      </c>
      <c r="D10" s="118">
        <v>219266.84850670406</v>
      </c>
      <c r="E10" s="118">
        <v>220195.55163551131</v>
      </c>
      <c r="F10" s="118">
        <v>226049.03473772103</v>
      </c>
      <c r="G10" s="118">
        <v>229857.56512006361</v>
      </c>
      <c r="H10" s="118">
        <v>236153.43625467957</v>
      </c>
      <c r="I10" s="118">
        <v>241534.58678266843</v>
      </c>
      <c r="J10" s="118">
        <v>244410.31127629377</v>
      </c>
      <c r="K10" s="118">
        <v>248805.66568635823</v>
      </c>
      <c r="L10" s="118">
        <v>259475.22671606147</v>
      </c>
      <c r="M10" s="118">
        <v>263898.20940117678</v>
      </c>
      <c r="N10" s="118">
        <v>272384.83237776509</v>
      </c>
      <c r="O10" s="118">
        <v>272894.73150499666</v>
      </c>
      <c r="P10" s="118">
        <v>276808.68850929162</v>
      </c>
      <c r="Q10" s="118">
        <v>280225.51932775415</v>
      </c>
    </row>
    <row r="11" spans="3:20" x14ac:dyDescent="0.25">
      <c r="C11" s="117" t="s">
        <v>104</v>
      </c>
      <c r="D11" s="118">
        <v>18056.086926009426</v>
      </c>
      <c r="E11" s="118">
        <v>20272.927437383623</v>
      </c>
      <c r="F11" s="118">
        <v>22504.773656848018</v>
      </c>
      <c r="G11" s="118">
        <v>26247.211979758933</v>
      </c>
      <c r="H11" s="118">
        <v>28497.308559119356</v>
      </c>
      <c r="I11" s="118">
        <v>29019.414013652047</v>
      </c>
      <c r="J11" s="118">
        <v>27982.298402755776</v>
      </c>
      <c r="K11" s="118">
        <v>20010.979024472821</v>
      </c>
      <c r="L11" s="118">
        <v>29691.993495778726</v>
      </c>
      <c r="M11" s="118">
        <v>33541.964842415829</v>
      </c>
      <c r="N11" s="118">
        <v>30102.514897396948</v>
      </c>
      <c r="O11" s="118">
        <v>34642.526764408496</v>
      </c>
      <c r="P11" s="118">
        <v>31919.229015740886</v>
      </c>
      <c r="Q11" s="118">
        <v>30811.914641045078</v>
      </c>
    </row>
    <row r="12" spans="3:20" ht="15.75" thickBot="1" x14ac:dyDescent="0.3">
      <c r="C12" s="138" t="s">
        <v>105</v>
      </c>
      <c r="D12" s="139">
        <v>-4004.4823891490055</v>
      </c>
      <c r="E12" s="139">
        <v>-18969.851582284024</v>
      </c>
      <c r="F12" s="139">
        <v>-4533.6099834881352</v>
      </c>
      <c r="G12" s="139">
        <v>-49625.056045078833</v>
      </c>
      <c r="H12" s="139">
        <v>-5013.3088985445575</v>
      </c>
      <c r="I12" s="139">
        <v>-19720.945625648848</v>
      </c>
      <c r="J12" s="139">
        <v>-20762.667858823093</v>
      </c>
      <c r="K12" s="139">
        <v>-45742.077616983501</v>
      </c>
      <c r="L12" s="139">
        <v>-5190.6766075985788</v>
      </c>
      <c r="M12" s="139">
        <v>-26147.059503870933</v>
      </c>
      <c r="N12" s="139">
        <v>-15903.354368745935</v>
      </c>
      <c r="O12" s="139">
        <v>-67393.90951978456</v>
      </c>
      <c r="P12" s="139">
        <v>-18078.548270464165</v>
      </c>
      <c r="Q12" s="139">
        <v>-26848.991232902463</v>
      </c>
    </row>
    <row r="13" spans="3:20" ht="24" x14ac:dyDescent="0.25">
      <c r="C13" s="121" t="s">
        <v>25</v>
      </c>
      <c r="D13" s="122">
        <v>268805.75361163885</v>
      </c>
      <c r="E13" s="122">
        <v>248489.49577944132</v>
      </c>
      <c r="F13" s="122">
        <v>292585.56976278004</v>
      </c>
      <c r="G13" s="122">
        <v>229286.18084613979</v>
      </c>
      <c r="H13" s="122">
        <v>317760.94226743816</v>
      </c>
      <c r="I13" s="122">
        <v>303574.24840393185</v>
      </c>
      <c r="J13" s="122">
        <v>312290.30436184641</v>
      </c>
      <c r="K13" s="122">
        <v>264585.50496678357</v>
      </c>
      <c r="L13" s="122">
        <v>364099.98085866822</v>
      </c>
      <c r="M13" s="122">
        <v>347936.34749327495</v>
      </c>
      <c r="N13" s="122">
        <v>372996.9421400592</v>
      </c>
      <c r="O13" s="122">
        <v>304389.72950799763</v>
      </c>
      <c r="P13" s="122">
        <v>391599.69430879538</v>
      </c>
      <c r="Q13" s="122">
        <v>380965.54303133278</v>
      </c>
    </row>
    <row r="14" spans="3:20" x14ac:dyDescent="0.25">
      <c r="C14" s="125"/>
      <c r="D14" s="140">
        <v>0</v>
      </c>
      <c r="E14" s="140">
        <v>0</v>
      </c>
      <c r="F14" s="140">
        <v>0</v>
      </c>
      <c r="G14" s="140">
        <v>0</v>
      </c>
      <c r="H14" s="140"/>
      <c r="I14" s="140"/>
      <c r="J14" s="140"/>
      <c r="K14" s="140"/>
      <c r="L14" s="140"/>
      <c r="M14" s="140"/>
      <c r="N14" s="140"/>
      <c r="O14" s="140"/>
      <c r="P14" s="140"/>
      <c r="Q14" s="140"/>
    </row>
    <row r="15" spans="3:20" x14ac:dyDescent="0.25">
      <c r="C15" s="141" t="s">
        <v>26</v>
      </c>
      <c r="D15" s="142">
        <v>0</v>
      </c>
      <c r="E15" s="142">
        <v>0</v>
      </c>
      <c r="F15" s="142">
        <v>0</v>
      </c>
      <c r="G15" s="142">
        <v>0</v>
      </c>
      <c r="H15" s="142"/>
      <c r="I15" s="142"/>
      <c r="J15" s="142"/>
      <c r="K15" s="142"/>
      <c r="L15" s="142"/>
      <c r="M15" s="142"/>
      <c r="N15" s="142"/>
      <c r="O15" s="142"/>
      <c r="P15" s="142"/>
      <c r="Q15" s="142"/>
    </row>
    <row r="16" spans="3:20" x14ac:dyDescent="0.25">
      <c r="C16" s="117" t="s">
        <v>106</v>
      </c>
      <c r="D16" s="118">
        <v>-33973.347840742332</v>
      </c>
      <c r="E16" s="118">
        <v>-37657.047469526799</v>
      </c>
      <c r="F16" s="118">
        <v>-37636.543947888189</v>
      </c>
      <c r="G16" s="118">
        <v>22289.939258157319</v>
      </c>
      <c r="H16" s="118">
        <v>-23707.086309872793</v>
      </c>
      <c r="I16" s="118">
        <v>11417.542544682532</v>
      </c>
      <c r="J16" s="118">
        <v>10106.56357127638</v>
      </c>
      <c r="K16" s="118">
        <v>46459.980193913885</v>
      </c>
      <c r="L16" s="118">
        <v>-27692.73287868137</v>
      </c>
      <c r="M16" s="118">
        <v>-9472.9967971544793</v>
      </c>
      <c r="N16" s="118">
        <v>-15684.822668556451</v>
      </c>
      <c r="O16" s="118">
        <v>26593.552344392301</v>
      </c>
      <c r="P16" s="118">
        <v>-19830.015824192469</v>
      </c>
      <c r="Q16" s="118">
        <v>-6095</v>
      </c>
      <c r="S16" s="155"/>
      <c r="T16" s="155"/>
    </row>
    <row r="17" spans="3:20" x14ac:dyDescent="0.25">
      <c r="C17" s="117" t="s">
        <v>207</v>
      </c>
      <c r="D17" s="118">
        <v>-21577.699727047082</v>
      </c>
      <c r="E17" s="118">
        <v>-50401.243715311437</v>
      </c>
      <c r="F17" s="118">
        <v>-22912.516436173042</v>
      </c>
      <c r="G17" s="118">
        <v>1523.2497647898126</v>
      </c>
      <c r="H17" s="118">
        <v>-40343.464533524384</v>
      </c>
      <c r="I17" s="118">
        <v>-11158.577714465529</v>
      </c>
      <c r="J17" s="118">
        <v>23478.035178042621</v>
      </c>
      <c r="K17" s="118">
        <v>-60387.796645457587</v>
      </c>
      <c r="L17" s="118">
        <v>6240.5008774631679</v>
      </c>
      <c r="M17" s="118">
        <v>-45382.090880702031</v>
      </c>
      <c r="N17" s="118">
        <v>102.65063128880865</v>
      </c>
      <c r="O17" s="118">
        <v>-23405.265388220636</v>
      </c>
      <c r="P17" s="118">
        <v>-3505.4825857037558</v>
      </c>
      <c r="Q17" s="118">
        <v>-22508</v>
      </c>
      <c r="S17" s="155"/>
      <c r="T17" s="155"/>
    </row>
    <row r="18" spans="3:20" x14ac:dyDescent="0.25">
      <c r="C18" s="117" t="s">
        <v>107</v>
      </c>
      <c r="D18" s="118">
        <v>-8644.8928199619459</v>
      </c>
      <c r="E18" s="118">
        <v>20974.675460506682</v>
      </c>
      <c r="F18" s="118">
        <v>-338.83573130920558</v>
      </c>
      <c r="G18" s="118">
        <v>-25800.946909235528</v>
      </c>
      <c r="H18" s="118">
        <v>-19552.581761658748</v>
      </c>
      <c r="I18" s="118">
        <v>-9421.7128183199457</v>
      </c>
      <c r="J18" s="118">
        <v>17012.798334943232</v>
      </c>
      <c r="K18" s="118">
        <v>27545.496245035465</v>
      </c>
      <c r="L18" s="118">
        <v>-27601.943852295419</v>
      </c>
      <c r="M18" s="118">
        <v>-11058.240250025916</v>
      </c>
      <c r="N18" s="118">
        <v>1586.4262590411672</v>
      </c>
      <c r="O18" s="118">
        <v>-19347.242156719833</v>
      </c>
      <c r="P18" s="118">
        <v>-49496.765257605199</v>
      </c>
      <c r="Q18" s="118">
        <v>-8696.4620754822827</v>
      </c>
      <c r="S18" s="155"/>
      <c r="T18" s="155"/>
    </row>
    <row r="19" spans="3:20" x14ac:dyDescent="0.25">
      <c r="C19" s="117" t="s">
        <v>108</v>
      </c>
      <c r="D19" s="118">
        <v>-15570.390866490035</v>
      </c>
      <c r="E19" s="118">
        <v>1438.6064106768918</v>
      </c>
      <c r="F19" s="118">
        <v>-3136.5859061394804</v>
      </c>
      <c r="G19" s="118">
        <v>16718.370361952624</v>
      </c>
      <c r="H19" s="118">
        <v>-21033.45172881259</v>
      </c>
      <c r="I19" s="118">
        <v>5012.3873322910458</v>
      </c>
      <c r="J19" s="118">
        <v>-19689.623949103254</v>
      </c>
      <c r="K19" s="118">
        <v>23177.688345624796</v>
      </c>
      <c r="L19" s="118">
        <v>-3780.2908605646667</v>
      </c>
      <c r="M19" s="118">
        <v>9261.5012346137137</v>
      </c>
      <c r="N19" s="118">
        <v>-8366.6802845834354</v>
      </c>
      <c r="O19" s="118">
        <v>9601.4699105343861</v>
      </c>
      <c r="P19" s="118">
        <v>13793.190142304904</v>
      </c>
      <c r="Q19" s="118">
        <v>-11647.090177373733</v>
      </c>
      <c r="S19" s="155"/>
      <c r="T19" s="155"/>
    </row>
    <row r="20" spans="3:20" ht="15.75" thickBot="1" x14ac:dyDescent="0.3">
      <c r="C20" s="138" t="s">
        <v>208</v>
      </c>
      <c r="D20" s="139">
        <v>40311.257106527148</v>
      </c>
      <c r="E20" s="139">
        <v>10010.176409257947</v>
      </c>
      <c r="F20" s="139">
        <v>3190.5017025213238</v>
      </c>
      <c r="G20" s="139">
        <v>2748.6017405602761</v>
      </c>
      <c r="H20" s="139">
        <v>27705.178764993638</v>
      </c>
      <c r="I20" s="139">
        <v>32245.702272394636</v>
      </c>
      <c r="J20" s="139">
        <v>39850.351117455575</v>
      </c>
      <c r="K20" s="139">
        <v>27595.003768034381</v>
      </c>
      <c r="L20" s="139">
        <v>62645.296934863371</v>
      </c>
      <c r="M20" s="139">
        <v>5232.1939218182597</v>
      </c>
      <c r="N20" s="139">
        <v>-13378.810151581347</v>
      </c>
      <c r="O20" s="139">
        <v>25009.647470525393</v>
      </c>
      <c r="P20" s="139">
        <v>1670.498598258383</v>
      </c>
      <c r="Q20" s="139">
        <v>-34122.477276103855</v>
      </c>
      <c r="S20" s="155"/>
      <c r="T20" s="155"/>
    </row>
    <row r="21" spans="3:20" ht="15.75" thickBot="1" x14ac:dyDescent="0.3">
      <c r="C21" s="145" t="s">
        <v>220</v>
      </c>
      <c r="D21" s="146">
        <v>-39455.074147714244</v>
      </c>
      <c r="E21" s="146">
        <v>-55634.832904396753</v>
      </c>
      <c r="F21" s="146">
        <v>-60833.980318988557</v>
      </c>
      <c r="G21" s="146">
        <v>17479.2142162245</v>
      </c>
      <c r="H21" s="146">
        <v>-76931.405568874878</v>
      </c>
      <c r="I21" s="146">
        <v>28095.341616582737</v>
      </c>
      <c r="J21" s="146">
        <v>70758.124252614551</v>
      </c>
      <c r="K21" s="146">
        <v>64390.37190715094</v>
      </c>
      <c r="L21" s="146">
        <v>9810.8302207850866</v>
      </c>
      <c r="M21" s="146">
        <v>-51419.632771450466</v>
      </c>
      <c r="N21" s="146">
        <v>-35741.236214391247</v>
      </c>
      <c r="O21" s="146">
        <v>18452.162180511616</v>
      </c>
      <c r="P21" s="146">
        <v>-57366.574926938098</v>
      </c>
      <c r="Q21" s="146">
        <v>-83069.023721817735</v>
      </c>
      <c r="S21" s="155"/>
      <c r="T21" s="155"/>
    </row>
    <row r="22" spans="3:20" x14ac:dyDescent="0.25">
      <c r="C22" s="121" t="s">
        <v>221</v>
      </c>
      <c r="D22" s="122">
        <v>229350.67946392461</v>
      </c>
      <c r="E22" s="122">
        <v>192854.86287504452</v>
      </c>
      <c r="F22" s="122">
        <v>231751.38944379153</v>
      </c>
      <c r="G22" s="122">
        <v>246765.39506236429</v>
      </c>
      <c r="H22" s="122">
        <v>240829.53669856329</v>
      </c>
      <c r="I22" s="122">
        <v>331669.19002051465</v>
      </c>
      <c r="J22" s="122">
        <v>383048.82861446089</v>
      </c>
      <c r="K22" s="122">
        <v>328975.87687393453</v>
      </c>
      <c r="L22" s="122">
        <v>373910.81107945333</v>
      </c>
      <c r="M22" s="122">
        <v>296516.71472182451</v>
      </c>
      <c r="N22" s="122">
        <v>337255.70592566789</v>
      </c>
      <c r="O22" s="122">
        <v>322841.89168850926</v>
      </c>
      <c r="P22" s="122">
        <v>334231.11938185699</v>
      </c>
      <c r="Q22" s="122">
        <v>297896.51930951502</v>
      </c>
      <c r="S22" s="155"/>
      <c r="T22" s="155"/>
    </row>
    <row r="23" spans="3:20" x14ac:dyDescent="0.25">
      <c r="C23" s="125"/>
      <c r="D23" s="140"/>
      <c r="E23" s="140"/>
      <c r="F23" s="140"/>
      <c r="G23" s="140"/>
      <c r="H23" s="140"/>
      <c r="I23" s="140"/>
      <c r="J23" s="140"/>
      <c r="K23" s="140"/>
      <c r="L23" s="140"/>
      <c r="M23" s="140"/>
      <c r="N23" s="140"/>
      <c r="O23" s="140"/>
      <c r="P23" s="140"/>
      <c r="Q23" s="140"/>
    </row>
    <row r="24" spans="3:20" x14ac:dyDescent="0.25">
      <c r="C24" s="147" t="s">
        <v>109</v>
      </c>
      <c r="D24" s="148"/>
      <c r="E24" s="148"/>
      <c r="F24" s="148"/>
      <c r="G24" s="148"/>
      <c r="H24" s="148"/>
      <c r="I24" s="148"/>
      <c r="J24" s="148"/>
      <c r="K24" s="148"/>
      <c r="L24" s="148"/>
      <c r="M24" s="148"/>
      <c r="N24" s="148"/>
      <c r="O24" s="148"/>
      <c r="P24" s="148"/>
      <c r="Q24" s="148"/>
    </row>
    <row r="25" spans="3:20" ht="15" customHeight="1" x14ac:dyDescent="0.25">
      <c r="C25" s="117" t="s">
        <v>110</v>
      </c>
      <c r="D25" s="118">
        <v>-84861.989760379365</v>
      </c>
      <c r="E25" s="118">
        <v>-103926.35084265989</v>
      </c>
      <c r="F25" s="118">
        <v>-96398.896659884194</v>
      </c>
      <c r="G25" s="118">
        <v>-115551.76273707655</v>
      </c>
      <c r="H25" s="118">
        <v>-93060.259340733217</v>
      </c>
      <c r="I25" s="118">
        <v>-104846.30574855143</v>
      </c>
      <c r="J25" s="118">
        <v>-96897.669061433902</v>
      </c>
      <c r="K25" s="118">
        <v>-124087.76584928145</v>
      </c>
      <c r="L25" s="118">
        <v>-101026.1605940919</v>
      </c>
      <c r="M25" s="118">
        <v>-108625.06006710662</v>
      </c>
      <c r="N25" s="118">
        <v>-102192.86876948606</v>
      </c>
      <c r="O25" s="118">
        <v>-128705.91056931543</v>
      </c>
      <c r="P25" s="118">
        <v>-114833.93866771954</v>
      </c>
      <c r="Q25" s="118">
        <v>-117587</v>
      </c>
    </row>
    <row r="26" spans="3:20" ht="24" x14ac:dyDescent="0.25">
      <c r="C26" s="117" t="s">
        <v>111</v>
      </c>
      <c r="D26" s="118">
        <v>-101552.870905451</v>
      </c>
      <c r="E26" s="118">
        <v>-109110.981093792</v>
      </c>
      <c r="F26" s="118">
        <v>-110536.32322880396</v>
      </c>
      <c r="G26" s="118">
        <v>-119227.82477195305</v>
      </c>
      <c r="H26" s="118">
        <v>-112039.29639801501</v>
      </c>
      <c r="I26" s="118">
        <v>-115011.73557338664</v>
      </c>
      <c r="J26" s="118">
        <v>-112624.27358602296</v>
      </c>
      <c r="K26" s="118">
        <v>-125437.69444257539</v>
      </c>
      <c r="L26" s="118">
        <v>-118513.34541588248</v>
      </c>
      <c r="M26" s="118">
        <v>-113880.36267437835</v>
      </c>
      <c r="N26" s="118">
        <v>-111813.90908001727</v>
      </c>
      <c r="O26" s="118">
        <v>-134035.3828297219</v>
      </c>
      <c r="P26" s="118">
        <v>-124536.1290377251</v>
      </c>
      <c r="Q26" s="118">
        <v>-122034</v>
      </c>
    </row>
    <row r="27" spans="3:20" x14ac:dyDescent="0.25">
      <c r="C27" s="117" t="s">
        <v>112</v>
      </c>
      <c r="D27" s="118">
        <v>0</v>
      </c>
      <c r="E27" s="118">
        <v>0</v>
      </c>
      <c r="F27" s="118">
        <v>0</v>
      </c>
      <c r="G27" s="118">
        <v>157</v>
      </c>
      <c r="H27" s="118">
        <v>0</v>
      </c>
      <c r="I27" s="118">
        <v>0</v>
      </c>
      <c r="J27" s="118">
        <v>0</v>
      </c>
      <c r="K27" s="118">
        <v>0</v>
      </c>
      <c r="L27" s="118">
        <v>0</v>
      </c>
      <c r="M27" s="118">
        <v>0</v>
      </c>
      <c r="N27" s="118">
        <v>0</v>
      </c>
      <c r="O27" s="118">
        <v>0</v>
      </c>
      <c r="P27" s="118">
        <v>0</v>
      </c>
      <c r="Q27" s="118">
        <v>0</v>
      </c>
    </row>
    <row r="28" spans="3:20" x14ac:dyDescent="0.25">
      <c r="C28" s="117" t="s">
        <v>113</v>
      </c>
      <c r="D28" s="118">
        <v>0</v>
      </c>
      <c r="E28" s="118">
        <v>0</v>
      </c>
      <c r="F28" s="118">
        <v>0</v>
      </c>
      <c r="G28" s="118">
        <v>0</v>
      </c>
      <c r="H28" s="118">
        <v>0</v>
      </c>
      <c r="I28" s="118">
        <v>0</v>
      </c>
      <c r="J28" s="118">
        <v>0</v>
      </c>
      <c r="K28" s="118">
        <v>0</v>
      </c>
      <c r="L28" s="118">
        <v>0</v>
      </c>
      <c r="M28" s="118">
        <v>0</v>
      </c>
      <c r="N28" s="118">
        <v>0</v>
      </c>
      <c r="O28" s="118">
        <v>0</v>
      </c>
      <c r="P28" s="118">
        <v>0</v>
      </c>
      <c r="Q28" s="118">
        <v>0</v>
      </c>
    </row>
    <row r="29" spans="3:20" x14ac:dyDescent="0.25">
      <c r="C29" s="117" t="s">
        <v>114</v>
      </c>
      <c r="D29" s="118">
        <v>0</v>
      </c>
      <c r="E29" s="118">
        <v>0</v>
      </c>
      <c r="F29" s="118">
        <v>0</v>
      </c>
      <c r="G29" s="118">
        <v>0</v>
      </c>
      <c r="H29" s="118">
        <v>0</v>
      </c>
      <c r="I29" s="118">
        <v>0</v>
      </c>
      <c r="J29" s="118">
        <v>0</v>
      </c>
      <c r="K29" s="118">
        <v>0</v>
      </c>
      <c r="L29" s="118">
        <v>0</v>
      </c>
      <c r="M29" s="118">
        <v>0</v>
      </c>
      <c r="N29" s="118">
        <v>0</v>
      </c>
      <c r="O29" s="118">
        <v>0</v>
      </c>
      <c r="P29" s="118">
        <v>0</v>
      </c>
      <c r="Q29" s="118">
        <v>0</v>
      </c>
    </row>
    <row r="30" spans="3:20" x14ac:dyDescent="0.25">
      <c r="C30" s="150" t="s">
        <v>115</v>
      </c>
      <c r="D30" s="118">
        <v>0</v>
      </c>
      <c r="E30" s="118">
        <v>0</v>
      </c>
      <c r="F30" s="118">
        <v>0</v>
      </c>
      <c r="G30" s="118">
        <v>0</v>
      </c>
      <c r="H30" s="118">
        <v>0</v>
      </c>
      <c r="I30" s="118">
        <v>0</v>
      </c>
      <c r="J30" s="118">
        <v>0</v>
      </c>
      <c r="K30" s="118">
        <v>0</v>
      </c>
      <c r="L30" s="118">
        <v>0</v>
      </c>
      <c r="M30" s="118">
        <v>0</v>
      </c>
      <c r="N30" s="118">
        <v>0</v>
      </c>
      <c r="O30" s="118">
        <v>0</v>
      </c>
      <c r="P30" s="118">
        <v>0</v>
      </c>
      <c r="Q30" s="118">
        <v>0</v>
      </c>
    </row>
    <row r="31" spans="3:20" x14ac:dyDescent="0.25">
      <c r="C31" s="150" t="s">
        <v>116</v>
      </c>
      <c r="D31" s="118">
        <v>0</v>
      </c>
      <c r="E31" s="118">
        <v>0</v>
      </c>
      <c r="F31" s="118">
        <v>0</v>
      </c>
      <c r="G31" s="118">
        <v>0</v>
      </c>
      <c r="H31" s="118">
        <v>0</v>
      </c>
      <c r="I31" s="118">
        <v>0</v>
      </c>
      <c r="J31" s="118">
        <v>0</v>
      </c>
      <c r="K31" s="118">
        <v>0</v>
      </c>
      <c r="L31" s="118">
        <v>0</v>
      </c>
      <c r="M31" s="118">
        <v>0</v>
      </c>
      <c r="N31" s="118">
        <v>0</v>
      </c>
      <c r="O31" s="118">
        <v>0</v>
      </c>
      <c r="P31" s="118">
        <v>0</v>
      </c>
      <c r="Q31" s="118">
        <v>0</v>
      </c>
    </row>
    <row r="32" spans="3:20" ht="15.75" thickBot="1" x14ac:dyDescent="0.3">
      <c r="C32" s="151" t="s">
        <v>117</v>
      </c>
      <c r="D32" s="118">
        <v>0</v>
      </c>
      <c r="E32" s="118">
        <v>0</v>
      </c>
      <c r="F32" s="118">
        <v>0</v>
      </c>
      <c r="G32" s="118">
        <v>0</v>
      </c>
      <c r="H32" s="118">
        <v>0</v>
      </c>
      <c r="I32" s="118">
        <v>0</v>
      </c>
      <c r="J32" s="118">
        <v>0</v>
      </c>
      <c r="K32" s="118">
        <v>0</v>
      </c>
      <c r="L32" s="118">
        <v>0</v>
      </c>
      <c r="M32" s="118">
        <v>0</v>
      </c>
      <c r="N32" s="118">
        <v>0</v>
      </c>
      <c r="O32" s="118">
        <v>0</v>
      </c>
      <c r="P32" s="118">
        <v>0</v>
      </c>
      <c r="Q32" s="118">
        <v>0</v>
      </c>
    </row>
    <row r="33" spans="3:17" x14ac:dyDescent="0.25">
      <c r="C33" s="127" t="s">
        <v>27</v>
      </c>
      <c r="D33" s="153">
        <v>-186414.86066583038</v>
      </c>
      <c r="E33" s="153">
        <v>-213037.3319364519</v>
      </c>
      <c r="F33" s="153">
        <v>-206935.21988868818</v>
      </c>
      <c r="G33" s="153">
        <v>-234622.58750902954</v>
      </c>
      <c r="H33" s="153">
        <v>-205099.55573874823</v>
      </c>
      <c r="I33" s="153">
        <v>-219858.0413219381</v>
      </c>
      <c r="J33" s="153">
        <v>-209521.94264745677</v>
      </c>
      <c r="K33" s="153">
        <v>-249525.4602918569</v>
      </c>
      <c r="L33" s="153">
        <v>-219539.50600997437</v>
      </c>
      <c r="M33" s="153">
        <v>-222505.42274148497</v>
      </c>
      <c r="N33" s="153">
        <v>-214006.77784950333</v>
      </c>
      <c r="O33" s="153">
        <v>-262741.29339903733</v>
      </c>
      <c r="P33" s="153">
        <v>-239370.06770544464</v>
      </c>
      <c r="Q33" s="153">
        <v>-239620</v>
      </c>
    </row>
    <row r="34" spans="3:17" x14ac:dyDescent="0.25">
      <c r="C34" s="168"/>
      <c r="D34" s="247"/>
      <c r="E34" s="247"/>
      <c r="F34" s="247"/>
      <c r="G34" s="247"/>
      <c r="H34" s="247"/>
      <c r="I34" s="247"/>
      <c r="J34" s="247"/>
      <c r="K34" s="247"/>
      <c r="L34" s="247"/>
      <c r="M34" s="247"/>
      <c r="N34" s="247"/>
      <c r="O34" s="247"/>
      <c r="P34" s="247"/>
      <c r="Q34" s="247"/>
    </row>
    <row r="35" spans="3:17" x14ac:dyDescent="0.25">
      <c r="C35" s="147" t="s">
        <v>118</v>
      </c>
      <c r="D35" s="148"/>
      <c r="E35" s="148"/>
      <c r="F35" s="148"/>
      <c r="G35" s="148"/>
      <c r="H35" s="148"/>
      <c r="I35" s="148"/>
      <c r="J35" s="148"/>
      <c r="K35" s="148"/>
      <c r="L35" s="148"/>
      <c r="M35" s="148"/>
      <c r="N35" s="148"/>
      <c r="O35" s="148"/>
      <c r="P35" s="148"/>
      <c r="Q35" s="148"/>
    </row>
    <row r="36" spans="3:17" x14ac:dyDescent="0.25">
      <c r="C36" s="117" t="s">
        <v>209</v>
      </c>
      <c r="D36" s="118">
        <v>48769.220403805084</v>
      </c>
      <c r="E36" s="118">
        <v>102178.13493303503</v>
      </c>
      <c r="F36" s="118">
        <v>46781.202517841681</v>
      </c>
      <c r="G36" s="118">
        <v>83389.115300193254</v>
      </c>
      <c r="H36" s="118">
        <v>99889.106612208067</v>
      </c>
      <c r="I36" s="118">
        <v>172868.54580386431</v>
      </c>
      <c r="J36" s="118">
        <v>-29441.642161562282</v>
      </c>
      <c r="K36" s="118">
        <v>14176.989745489904</v>
      </c>
      <c r="L36" s="118">
        <v>16484.313066845221</v>
      </c>
      <c r="M36" s="118">
        <v>-104830.0800847491</v>
      </c>
      <c r="N36" s="118">
        <v>5599.6218840315414</v>
      </c>
      <c r="O36" s="118">
        <v>138587.14513387234</v>
      </c>
      <c r="P36" s="118">
        <v>38938</v>
      </c>
      <c r="Q36" s="118">
        <v>19002</v>
      </c>
    </row>
    <row r="37" spans="3:17" x14ac:dyDescent="0.25">
      <c r="C37" s="117" t="s">
        <v>119</v>
      </c>
      <c r="D37" s="118">
        <v>0</v>
      </c>
      <c r="E37" s="118">
        <v>0</v>
      </c>
      <c r="F37" s="118">
        <v>0</v>
      </c>
      <c r="G37" s="118">
        <v>500000</v>
      </c>
      <c r="H37" s="118">
        <v>450000</v>
      </c>
      <c r="I37" s="118">
        <v>0</v>
      </c>
      <c r="J37" s="118">
        <v>0</v>
      </c>
      <c r="K37" s="118">
        <v>0</v>
      </c>
      <c r="L37" s="118">
        <v>0</v>
      </c>
      <c r="M37" s="118">
        <v>1050000</v>
      </c>
      <c r="N37" s="118">
        <v>0</v>
      </c>
      <c r="O37" s="118">
        <v>0</v>
      </c>
      <c r="P37" s="118">
        <v>0</v>
      </c>
      <c r="Q37" s="118">
        <v>0</v>
      </c>
    </row>
    <row r="38" spans="3:17" x14ac:dyDescent="0.25">
      <c r="C38" s="117" t="s">
        <v>120</v>
      </c>
      <c r="D38" s="118">
        <v>0</v>
      </c>
      <c r="E38" s="118">
        <v>0</v>
      </c>
      <c r="F38" s="118">
        <v>0</v>
      </c>
      <c r="G38" s="118">
        <v>0</v>
      </c>
      <c r="H38" s="118">
        <v>0</v>
      </c>
      <c r="I38" s="118">
        <v>0</v>
      </c>
      <c r="J38" s="118">
        <v>0</v>
      </c>
      <c r="K38" s="118">
        <v>0</v>
      </c>
      <c r="L38" s="118">
        <v>0</v>
      </c>
      <c r="M38" s="118">
        <v>0</v>
      </c>
      <c r="N38" s="118">
        <v>0</v>
      </c>
      <c r="O38" s="118">
        <v>0</v>
      </c>
      <c r="P38" s="118">
        <v>0</v>
      </c>
      <c r="Q38" s="118">
        <v>0</v>
      </c>
    </row>
    <row r="39" spans="3:17" x14ac:dyDescent="0.25">
      <c r="C39" s="117" t="s">
        <v>121</v>
      </c>
      <c r="D39" s="118">
        <v>0</v>
      </c>
      <c r="E39" s="118">
        <v>0</v>
      </c>
      <c r="F39" s="118">
        <v>0</v>
      </c>
      <c r="G39" s="118">
        <v>-500000</v>
      </c>
      <c r="H39" s="118">
        <v>-450000</v>
      </c>
      <c r="I39" s="118">
        <v>-200000</v>
      </c>
      <c r="J39" s="118">
        <v>0</v>
      </c>
      <c r="K39" s="118">
        <v>0</v>
      </c>
      <c r="L39" s="118">
        <v>0</v>
      </c>
      <c r="M39" s="118">
        <v>-930000</v>
      </c>
      <c r="N39" s="118">
        <v>0</v>
      </c>
      <c r="O39" s="118">
        <v>-100000</v>
      </c>
      <c r="P39" s="118">
        <v>0</v>
      </c>
      <c r="Q39" s="118">
        <v>0</v>
      </c>
    </row>
    <row r="40" spans="3:17" x14ac:dyDescent="0.25">
      <c r="C40" s="117" t="s">
        <v>122</v>
      </c>
      <c r="D40" s="118">
        <v>-86526.155056502073</v>
      </c>
      <c r="E40" s="118">
        <v>-56587.725949890068</v>
      </c>
      <c r="F40" s="118">
        <v>-94177.562416215849</v>
      </c>
      <c r="G40" s="118">
        <v>-66571.55657739201</v>
      </c>
      <c r="H40" s="118">
        <v>-124632.25143902634</v>
      </c>
      <c r="I40" s="118">
        <v>-84800.748368531989</v>
      </c>
      <c r="J40" s="118">
        <v>-147780.87573424206</v>
      </c>
      <c r="K40" s="118">
        <v>-94692.124458199629</v>
      </c>
      <c r="L40" s="118">
        <v>-145981.17514453628</v>
      </c>
      <c r="M40" s="118">
        <v>-93997.396806359495</v>
      </c>
      <c r="N40" s="118">
        <v>-139301.21652630449</v>
      </c>
      <c r="O40" s="118">
        <v>-85554.211522799742</v>
      </c>
      <c r="P40" s="118">
        <v>-132986.45104639637</v>
      </c>
      <c r="Q40" s="118">
        <v>-79998.7026442559</v>
      </c>
    </row>
    <row r="41" spans="3:17" x14ac:dyDescent="0.25">
      <c r="C41" s="117" t="s">
        <v>123</v>
      </c>
      <c r="D41" s="118">
        <v>0</v>
      </c>
      <c r="E41" s="118">
        <v>0</v>
      </c>
      <c r="F41" s="118">
        <v>-249.24299999999999</v>
      </c>
      <c r="G41" s="118">
        <v>-6191.7569999999996</v>
      </c>
      <c r="H41" s="118">
        <v>-5414.0458200000003</v>
      </c>
      <c r="I41" s="118">
        <v>-1.9999999999990905</v>
      </c>
      <c r="J41" s="118">
        <v>0</v>
      </c>
      <c r="K41" s="118">
        <v>4.582000000118569E-2</v>
      </c>
      <c r="L41" s="118">
        <v>0</v>
      </c>
      <c r="M41" s="118">
        <v>-10977.604459999997</v>
      </c>
      <c r="N41" s="118">
        <v>0</v>
      </c>
      <c r="O41" s="118">
        <v>-0.39554000000134693</v>
      </c>
      <c r="P41" s="118">
        <v>0</v>
      </c>
      <c r="Q41" s="118">
        <v>0</v>
      </c>
    </row>
    <row r="42" spans="3:17" x14ac:dyDescent="0.25">
      <c r="C42" s="117" t="s">
        <v>22</v>
      </c>
      <c r="D42" s="118">
        <v>-4465.0779249029401</v>
      </c>
      <c r="E42" s="118">
        <v>-4967.6069806786636</v>
      </c>
      <c r="F42" s="118">
        <v>1241.4774361127074</v>
      </c>
      <c r="G42" s="118">
        <v>-2851.7925305311037</v>
      </c>
      <c r="H42" s="118">
        <v>-10497.816733299711</v>
      </c>
      <c r="I42" s="118">
        <v>-4442.1957005609293</v>
      </c>
      <c r="J42" s="118">
        <v>-3941.4491446914326</v>
      </c>
      <c r="K42" s="118">
        <v>-2970.5384214479272</v>
      </c>
      <c r="L42" s="118">
        <v>-854.53795372996228</v>
      </c>
      <c r="M42" s="118">
        <v>2250.8375027665816</v>
      </c>
      <c r="N42" s="118">
        <v>695.20889228026135</v>
      </c>
      <c r="O42" s="118">
        <v>-4017.5084413168806</v>
      </c>
      <c r="P42" s="118">
        <v>-1957.8695534263738</v>
      </c>
      <c r="Q42" s="118">
        <v>-2927.0471658757901</v>
      </c>
    </row>
    <row r="43" spans="3:17" x14ac:dyDescent="0.25">
      <c r="C43" s="117" t="s">
        <v>124</v>
      </c>
      <c r="D43" s="118">
        <v>0</v>
      </c>
      <c r="E43" s="118">
        <v>0</v>
      </c>
      <c r="F43" s="118">
        <v>0</v>
      </c>
      <c r="G43" s="118">
        <v>0</v>
      </c>
      <c r="H43" s="118">
        <v>0</v>
      </c>
      <c r="I43" s="118">
        <v>0</v>
      </c>
      <c r="J43" s="118">
        <v>0</v>
      </c>
      <c r="K43" s="118">
        <v>0</v>
      </c>
      <c r="L43" s="118">
        <v>0</v>
      </c>
      <c r="M43" s="118">
        <v>0</v>
      </c>
      <c r="N43" s="118">
        <v>0</v>
      </c>
      <c r="O43" s="118">
        <v>0</v>
      </c>
      <c r="P43" s="118">
        <v>0</v>
      </c>
      <c r="Q43" s="118">
        <v>0</v>
      </c>
    </row>
    <row r="44" spans="3:17" x14ac:dyDescent="0.25">
      <c r="C44" s="117" t="s">
        <v>125</v>
      </c>
      <c r="D44" s="118">
        <v>0</v>
      </c>
      <c r="E44" s="118">
        <v>0</v>
      </c>
      <c r="F44" s="118">
        <v>0</v>
      </c>
      <c r="G44" s="118">
        <v>0</v>
      </c>
      <c r="H44" s="118">
        <v>0</v>
      </c>
      <c r="I44" s="118">
        <v>0</v>
      </c>
      <c r="J44" s="118">
        <v>0</v>
      </c>
      <c r="K44" s="118">
        <v>0</v>
      </c>
      <c r="L44" s="118">
        <v>0</v>
      </c>
      <c r="M44" s="118">
        <v>0</v>
      </c>
      <c r="N44" s="118">
        <v>0</v>
      </c>
      <c r="O44" s="118">
        <v>0</v>
      </c>
      <c r="P44" s="118">
        <v>0</v>
      </c>
      <c r="Q44" s="118">
        <v>0</v>
      </c>
    </row>
    <row r="45" spans="3:17" x14ac:dyDescent="0.25">
      <c r="C45" s="117" t="s">
        <v>126</v>
      </c>
      <c r="D45" s="118">
        <v>0</v>
      </c>
      <c r="E45" s="118">
        <v>0</v>
      </c>
      <c r="F45" s="118">
        <v>0</v>
      </c>
      <c r="G45" s="118">
        <v>0</v>
      </c>
      <c r="H45" s="118">
        <v>0</v>
      </c>
      <c r="I45" s="118">
        <v>0</v>
      </c>
      <c r="J45" s="118">
        <v>0</v>
      </c>
      <c r="K45" s="118">
        <v>0</v>
      </c>
      <c r="L45" s="118">
        <v>0</v>
      </c>
      <c r="M45" s="118">
        <v>0</v>
      </c>
      <c r="N45" s="118">
        <v>0</v>
      </c>
      <c r="O45" s="118">
        <v>0</v>
      </c>
      <c r="P45" s="118">
        <v>0</v>
      </c>
      <c r="Q45" s="118">
        <v>0</v>
      </c>
    </row>
    <row r="46" spans="3:17" x14ac:dyDescent="0.25">
      <c r="C46" s="117" t="s">
        <v>127</v>
      </c>
      <c r="D46" s="118">
        <v>0</v>
      </c>
      <c r="E46" s="118">
        <v>0</v>
      </c>
      <c r="F46" s="118">
        <v>0</v>
      </c>
      <c r="G46" s="118">
        <v>0</v>
      </c>
      <c r="H46" s="118">
        <v>0</v>
      </c>
      <c r="I46" s="118">
        <v>0</v>
      </c>
      <c r="J46" s="118">
        <v>0</v>
      </c>
      <c r="K46" s="118">
        <v>0</v>
      </c>
      <c r="L46" s="118">
        <v>0</v>
      </c>
      <c r="M46" s="118">
        <v>0</v>
      </c>
      <c r="N46" s="118">
        <v>0</v>
      </c>
      <c r="O46" s="118">
        <v>0</v>
      </c>
      <c r="P46" s="118">
        <v>0</v>
      </c>
      <c r="Q46" s="118">
        <v>0</v>
      </c>
    </row>
    <row r="47" spans="3:17" x14ac:dyDescent="0.25">
      <c r="C47" s="117" t="s">
        <v>128</v>
      </c>
      <c r="D47" s="118">
        <v>0</v>
      </c>
      <c r="E47" s="118">
        <v>0</v>
      </c>
      <c r="F47" s="118">
        <v>0</v>
      </c>
      <c r="G47" s="118">
        <v>0</v>
      </c>
      <c r="H47" s="118">
        <v>0</v>
      </c>
      <c r="I47" s="118">
        <v>0</v>
      </c>
      <c r="J47" s="118">
        <v>0</v>
      </c>
      <c r="K47" s="118">
        <v>0</v>
      </c>
      <c r="L47" s="118">
        <v>0</v>
      </c>
      <c r="M47" s="118">
        <v>0</v>
      </c>
      <c r="N47" s="118">
        <v>0</v>
      </c>
      <c r="O47" s="118">
        <v>0</v>
      </c>
      <c r="P47" s="118">
        <v>0</v>
      </c>
      <c r="Q47" s="118">
        <v>0</v>
      </c>
    </row>
    <row r="48" spans="3:17" x14ac:dyDescent="0.25">
      <c r="C48" s="117" t="s">
        <v>129</v>
      </c>
      <c r="D48" s="118">
        <v>0</v>
      </c>
      <c r="E48" s="118">
        <v>0</v>
      </c>
      <c r="F48" s="118">
        <v>0</v>
      </c>
      <c r="G48" s="118">
        <v>0</v>
      </c>
      <c r="H48" s="118">
        <v>0</v>
      </c>
      <c r="I48" s="118">
        <v>0</v>
      </c>
      <c r="J48" s="118">
        <v>0</v>
      </c>
      <c r="K48" s="118">
        <v>0</v>
      </c>
      <c r="L48" s="118">
        <v>0</v>
      </c>
      <c r="M48" s="118">
        <v>0</v>
      </c>
      <c r="N48" s="118">
        <v>0</v>
      </c>
      <c r="O48" s="118">
        <v>0</v>
      </c>
      <c r="P48" s="118">
        <v>0</v>
      </c>
      <c r="Q48" s="118">
        <v>0</v>
      </c>
    </row>
    <row r="49" spans="3:17" x14ac:dyDescent="0.25">
      <c r="C49" s="117" t="s">
        <v>130</v>
      </c>
      <c r="D49" s="118">
        <v>0</v>
      </c>
      <c r="E49" s="118">
        <v>0</v>
      </c>
      <c r="F49" s="118">
        <v>0</v>
      </c>
      <c r="G49" s="118">
        <v>0</v>
      </c>
      <c r="H49" s="118">
        <v>0</v>
      </c>
      <c r="I49" s="118">
        <v>0</v>
      </c>
      <c r="J49" s="118">
        <v>0</v>
      </c>
      <c r="K49" s="118">
        <v>0</v>
      </c>
      <c r="L49" s="118">
        <v>0</v>
      </c>
      <c r="M49" s="118">
        <v>0</v>
      </c>
      <c r="N49" s="118">
        <v>0</v>
      </c>
      <c r="O49" s="118">
        <v>0</v>
      </c>
      <c r="P49" s="118">
        <v>0</v>
      </c>
      <c r="Q49" s="118">
        <v>0</v>
      </c>
    </row>
    <row r="50" spans="3:17" ht="15.75" thickBot="1" x14ac:dyDescent="0.3">
      <c r="C50" s="117" t="s">
        <v>131</v>
      </c>
      <c r="D50" s="118">
        <v>0</v>
      </c>
      <c r="E50" s="118">
        <v>0</v>
      </c>
      <c r="F50" s="118">
        <v>0</v>
      </c>
      <c r="G50" s="118">
        <v>0</v>
      </c>
      <c r="H50" s="118">
        <v>0</v>
      </c>
      <c r="I50" s="118">
        <v>0</v>
      </c>
      <c r="J50" s="118">
        <v>0</v>
      </c>
      <c r="K50" s="118">
        <v>0</v>
      </c>
      <c r="L50" s="118">
        <v>0</v>
      </c>
      <c r="M50" s="118">
        <v>0</v>
      </c>
      <c r="N50" s="118">
        <v>0</v>
      </c>
      <c r="O50" s="118">
        <v>0</v>
      </c>
      <c r="P50" s="118">
        <v>0</v>
      </c>
      <c r="Q50" s="118">
        <v>0</v>
      </c>
    </row>
    <row r="51" spans="3:17" x14ac:dyDescent="0.25">
      <c r="C51" s="127" t="s">
        <v>222</v>
      </c>
      <c r="D51" s="153">
        <v>-42222.012577599933</v>
      </c>
      <c r="E51" s="153">
        <v>40622.802002466306</v>
      </c>
      <c r="F51" s="153">
        <v>-46404.125462261465</v>
      </c>
      <c r="G51" s="153">
        <v>7774.0091922700831</v>
      </c>
      <c r="H51" s="153">
        <v>-40655.007380117982</v>
      </c>
      <c r="I51" s="153">
        <v>-116376.39826522861</v>
      </c>
      <c r="J51" s="153">
        <v>-181163.96704049577</v>
      </c>
      <c r="K51" s="153">
        <v>-83485.627314157653</v>
      </c>
      <c r="L51" s="153">
        <v>-130351.40003142101</v>
      </c>
      <c r="M51" s="153">
        <v>-87554.24384834207</v>
      </c>
      <c r="N51" s="153">
        <v>-133006.38574999268</v>
      </c>
      <c r="O51" s="153">
        <v>-50984.970370244278</v>
      </c>
      <c r="P51" s="153">
        <v>-96007.320599822706</v>
      </c>
      <c r="Q51" s="153">
        <v>-63923.473162347655</v>
      </c>
    </row>
    <row r="52" spans="3:17" x14ac:dyDescent="0.25">
      <c r="C52" s="121"/>
      <c r="D52" s="122"/>
      <c r="E52" s="122"/>
      <c r="F52" s="122"/>
      <c r="G52" s="122"/>
      <c r="H52" s="122"/>
      <c r="I52" s="122"/>
      <c r="J52" s="122"/>
      <c r="K52" s="122"/>
      <c r="L52" s="122"/>
      <c r="M52" s="122"/>
      <c r="N52" s="122"/>
      <c r="O52" s="122"/>
      <c r="P52" s="122"/>
      <c r="Q52" s="122"/>
    </row>
    <row r="53" spans="3:17" x14ac:dyDescent="0.25">
      <c r="C53" s="141" t="s">
        <v>28</v>
      </c>
      <c r="D53" s="142">
        <f>+D22+D33+D51</f>
        <v>713.80622049429803</v>
      </c>
      <c r="E53" s="142">
        <f t="shared" ref="E53:O53" si="0">+E22+E33+E51</f>
        <v>20440.332941058929</v>
      </c>
      <c r="F53" s="142">
        <f t="shared" si="0"/>
        <v>-21587.955907158117</v>
      </c>
      <c r="G53" s="142">
        <f t="shared" si="0"/>
        <v>19916.816745604825</v>
      </c>
      <c r="H53" s="142">
        <f t="shared" si="0"/>
        <v>-4925.0264203029219</v>
      </c>
      <c r="I53" s="142">
        <f t="shared" si="0"/>
        <v>-4565.2495666520554</v>
      </c>
      <c r="J53" s="142">
        <f t="shared" si="0"/>
        <v>-7637.0810734916595</v>
      </c>
      <c r="K53" s="142">
        <f t="shared" si="0"/>
        <v>-4035.2107320800278</v>
      </c>
      <c r="L53" s="142">
        <f t="shared" si="0"/>
        <v>24019.905038057943</v>
      </c>
      <c r="M53" s="142">
        <f t="shared" si="0"/>
        <v>-13542.951868002536</v>
      </c>
      <c r="N53" s="142">
        <f t="shared" si="0"/>
        <v>-9757.4576738281175</v>
      </c>
      <c r="O53" s="142">
        <f t="shared" si="0"/>
        <v>9115.6279192276561</v>
      </c>
      <c r="P53" s="142">
        <v>-1146.26892341036</v>
      </c>
      <c r="Q53" s="142">
        <v>-5647.3035260641773</v>
      </c>
    </row>
    <row r="54" spans="3:17" x14ac:dyDescent="0.25">
      <c r="C54" s="117" t="s">
        <v>132</v>
      </c>
      <c r="D54" s="118">
        <f>+'Quarterly BS'!G27</f>
        <v>24360</v>
      </c>
      <c r="E54" s="118">
        <f>+'Quarterly BS'!H27</f>
        <v>25341.840414655202</v>
      </c>
      <c r="F54" s="118">
        <f>+'Quarterly BS'!I27</f>
        <v>45612.141093756305</v>
      </c>
      <c r="G54" s="118">
        <f>+'Quarterly BS'!J27</f>
        <v>24015.1726816314</v>
      </c>
      <c r="H54" s="118">
        <f>+'Quarterly BS'!K27</f>
        <v>43725.789712353901</v>
      </c>
      <c r="I54" s="118">
        <f>+'Quarterly BS'!L27</f>
        <v>38752.324474362402</v>
      </c>
      <c r="J54" s="118">
        <f>+'Quarterly BS'!M27</f>
        <v>34215.969319716402</v>
      </c>
      <c r="K54" s="118">
        <f>+'Quarterly BS'!N27</f>
        <v>26071.195504138297</v>
      </c>
      <c r="L54" s="118">
        <f>+'Quarterly BS'!O27</f>
        <v>21402.568781965503</v>
      </c>
      <c r="M54" s="118">
        <f>+'Quarterly BS'!P27</f>
        <v>45330.155312712697</v>
      </c>
      <c r="N54" s="118">
        <f>+'Quarterly BS'!Q27</f>
        <v>31261.420554229699</v>
      </c>
      <c r="O54" s="118">
        <f>+'Quarterly BS'!R27</f>
        <v>21290.567260008902</v>
      </c>
      <c r="P54" s="118">
        <v>30136.4562713575</v>
      </c>
      <c r="Q54" s="118">
        <v>28613.64713485225</v>
      </c>
    </row>
    <row r="55" spans="3:17" ht="24.75" thickBot="1" x14ac:dyDescent="0.3">
      <c r="C55" s="151" t="s">
        <v>133</v>
      </c>
      <c r="D55" s="152">
        <v>268.63673933188795</v>
      </c>
      <c r="E55" s="152">
        <v>-170.30610483163215</v>
      </c>
      <c r="F55" s="152">
        <v>-9.2976786658461918</v>
      </c>
      <c r="G55" s="152">
        <v>-205.03295583440962</v>
      </c>
      <c r="H55" s="152">
        <v>-48.640896709960401</v>
      </c>
      <c r="I55" s="152">
        <v>28.7338356614625</v>
      </c>
      <c r="J55" s="152">
        <v>-507.1513198286641</v>
      </c>
      <c r="K55" s="152">
        <v>-632.94161912283801</v>
      </c>
      <c r="L55" s="152">
        <v>-92.468143708777205</v>
      </c>
      <c r="M55" s="152">
        <v>-526.09490387859671</v>
      </c>
      <c r="N55" s="152">
        <v>-213.10009863215907</v>
      </c>
      <c r="O55" s="152">
        <v>-269.83685378046698</v>
      </c>
      <c r="P55" s="152">
        <v>-376.54021309488803</v>
      </c>
      <c r="Q55" s="152">
        <v>-1162</v>
      </c>
    </row>
    <row r="56" spans="3:17" x14ac:dyDescent="0.25">
      <c r="C56" s="121" t="s">
        <v>29</v>
      </c>
      <c r="D56" s="122">
        <f>+SUM(D53:D55)</f>
        <v>25342.442959826185</v>
      </c>
      <c r="E56" s="122">
        <f t="shared" ref="E56:O56" si="1">+SUM(E53:E55)</f>
        <v>45611.867250882497</v>
      </c>
      <c r="F56" s="122">
        <f t="shared" si="1"/>
        <v>24014.887507932341</v>
      </c>
      <c r="G56" s="122">
        <f t="shared" si="1"/>
        <v>43726.95647140182</v>
      </c>
      <c r="H56" s="122">
        <f t="shared" si="1"/>
        <v>38752.122395341015</v>
      </c>
      <c r="I56" s="122">
        <f t="shared" si="1"/>
        <v>34215.80874337181</v>
      </c>
      <c r="J56" s="122">
        <f t="shared" si="1"/>
        <v>26071.736926396079</v>
      </c>
      <c r="K56" s="122">
        <f t="shared" si="1"/>
        <v>21403.043152935432</v>
      </c>
      <c r="L56" s="122">
        <f t="shared" si="1"/>
        <v>45330.005676314664</v>
      </c>
      <c r="M56" s="122">
        <f t="shared" si="1"/>
        <v>31261.108540831563</v>
      </c>
      <c r="N56" s="122">
        <f t="shared" si="1"/>
        <v>21290.862781769421</v>
      </c>
      <c r="O56" s="122">
        <f t="shared" si="1"/>
        <v>30136.358325456091</v>
      </c>
      <c r="P56" s="122">
        <v>28613.64713485225</v>
      </c>
      <c r="Q56" s="122">
        <v>21805.343608788073</v>
      </c>
    </row>
    <row r="58" spans="3:17" x14ac:dyDescent="0.25">
      <c r="C58" s="179" t="s">
        <v>412</v>
      </c>
    </row>
    <row r="59" spans="3:17" x14ac:dyDescent="0.25">
      <c r="C59" s="125" t="s">
        <v>236</v>
      </c>
      <c r="D59" s="178">
        <v>-19229.683037843315</v>
      </c>
      <c r="E59" s="178">
        <v>-23407.820758546863</v>
      </c>
      <c r="F59" s="178">
        <v>-19477.134615606119</v>
      </c>
      <c r="G59" s="178">
        <v>-37039.03474287875</v>
      </c>
      <c r="H59" s="178">
        <v>-87213.88040314184</v>
      </c>
      <c r="I59" s="178">
        <v>-2463</v>
      </c>
      <c r="J59" s="178">
        <v>-6696.9152247933962</v>
      </c>
      <c r="K59" s="178">
        <v>-14852</v>
      </c>
      <c r="L59" s="178">
        <v>-5666.7817917867214</v>
      </c>
      <c r="M59" s="178">
        <v>-7065</v>
      </c>
      <c r="N59" s="178">
        <v>10751.428534890554</v>
      </c>
      <c r="O59" s="178">
        <v>29446</v>
      </c>
      <c r="P59" s="178"/>
      <c r="Q59" s="178"/>
    </row>
    <row r="60" spans="3:17" x14ac:dyDescent="0.25">
      <c r="C60" s="125" t="s">
        <v>235</v>
      </c>
      <c r="D60" s="178">
        <v>19229.68303784333</v>
      </c>
      <c r="E60" s="178">
        <v>23407.820758546877</v>
      </c>
      <c r="F60" s="178">
        <v>19477.13461560609</v>
      </c>
      <c r="G60" s="178">
        <v>37039.03474287875</v>
      </c>
      <c r="H60" s="178">
        <v>87214.030023023792</v>
      </c>
      <c r="I60" s="178">
        <v>2462.6971735537227</v>
      </c>
      <c r="J60" s="178">
        <v>6696.9152247934544</v>
      </c>
      <c r="K60" s="178">
        <v>14852</v>
      </c>
      <c r="L60" s="178">
        <v>5666.7817917867505</v>
      </c>
      <c r="M60" s="178">
        <v>7065</v>
      </c>
      <c r="N60" s="178">
        <v>-10751.428534890583</v>
      </c>
      <c r="O60" s="178">
        <v>-29446</v>
      </c>
      <c r="P60" s="178"/>
      <c r="Q60" s="178"/>
    </row>
    <row r="62" spans="3:17" x14ac:dyDescent="0.25">
      <c r="C62" s="69" t="s">
        <v>92</v>
      </c>
      <c r="D62" s="155"/>
      <c r="E62" s="155"/>
      <c r="F62" s="155"/>
      <c r="G62" s="155"/>
      <c r="H62" s="155"/>
      <c r="I62" s="155"/>
      <c r="J62" s="155"/>
      <c r="K62" s="155"/>
      <c r="L62" s="155"/>
      <c r="M62" s="155"/>
    </row>
    <row r="63" spans="3:17" ht="21.4" customHeight="1" x14ac:dyDescent="0.25">
      <c r="C63" s="307" t="s">
        <v>219</v>
      </c>
      <c r="D63" s="307"/>
      <c r="E63" s="307"/>
      <c r="F63" s="307"/>
      <c r="G63" s="307"/>
      <c r="H63" s="307"/>
      <c r="I63" s="307"/>
      <c r="J63" s="307"/>
      <c r="K63" s="307"/>
      <c r="L63" s="307"/>
      <c r="M63" s="307"/>
      <c r="N63" s="307"/>
      <c r="O63" s="307"/>
      <c r="P63" s="307"/>
      <c r="Q63" s="191"/>
    </row>
    <row r="64" spans="3:17" ht="14.25" customHeight="1" x14ac:dyDescent="0.25">
      <c r="C64" s="307" t="s">
        <v>281</v>
      </c>
      <c r="D64" s="307"/>
      <c r="E64" s="307"/>
      <c r="F64" s="307"/>
      <c r="G64" s="307"/>
      <c r="H64" s="307"/>
      <c r="I64" s="307"/>
      <c r="J64" s="307"/>
      <c r="K64" s="307"/>
      <c r="L64" s="307"/>
      <c r="M64" s="307"/>
    </row>
    <row r="65" spans="3:13" ht="14.25" customHeight="1" x14ac:dyDescent="0.25">
      <c r="C65" s="307" t="s">
        <v>282</v>
      </c>
      <c r="D65" s="307"/>
      <c r="E65" s="307"/>
      <c r="F65" s="307"/>
      <c r="G65" s="307"/>
      <c r="H65" s="307"/>
      <c r="I65" s="307"/>
      <c r="J65" s="307"/>
      <c r="K65" s="307"/>
      <c r="L65" s="307"/>
      <c r="M65" s="307"/>
    </row>
  </sheetData>
  <mergeCells count="3">
    <mergeCell ref="C64:M64"/>
    <mergeCell ref="C65:M65"/>
    <mergeCell ref="C63:P63"/>
  </mergeCells>
  <pageMargins left="0.70866141732283472" right="0.70866141732283472" top="0.74803149606299213" bottom="0.74803149606299213" header="0.31496062992125984" footer="0.31496062992125984"/>
  <pageSetup paperSize="9" scale="63" fitToHeight="0" orientation="landscape" r:id="rId1"/>
  <headerFooter>
    <oddFooter>&amp;R&amp;P</oddFooter>
  </headerFooter>
  <rowBreaks count="1" manualBreakCount="1">
    <brk id="34"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C1:D36"/>
  <sheetViews>
    <sheetView showGridLines="0" view="pageBreakPreview" zoomScaleNormal="130" zoomScaleSheetLayoutView="100" workbookViewId="0"/>
  </sheetViews>
  <sheetFormatPr defaultRowHeight="15" x14ac:dyDescent="0.25"/>
  <cols>
    <col min="1" max="1" width="1.5703125" customWidth="1"/>
    <col min="2" max="2" width="2" customWidth="1"/>
    <col min="3" max="3" width="29.5703125" customWidth="1"/>
    <col min="4" max="4" width="98.140625" customWidth="1"/>
    <col min="5" max="5" width="1.85546875" customWidth="1"/>
  </cols>
  <sheetData>
    <row r="1" spans="3:4" ht="8.85" customHeight="1" x14ac:dyDescent="0.25"/>
    <row r="2" spans="3:4" ht="15.75" x14ac:dyDescent="0.25">
      <c r="C2" s="112" t="s">
        <v>95</v>
      </c>
    </row>
    <row r="4" spans="3:4" ht="15.75" thickBot="1" x14ac:dyDescent="0.3">
      <c r="C4" s="173" t="s">
        <v>99</v>
      </c>
      <c r="D4" s="173" t="s">
        <v>98</v>
      </c>
    </row>
    <row r="5" spans="3:4" ht="39" thickTop="1" x14ac:dyDescent="0.25">
      <c r="C5" s="174" t="s">
        <v>10</v>
      </c>
      <c r="D5" s="174" t="s">
        <v>376</v>
      </c>
    </row>
    <row r="6" spans="3:4" ht="63.75" x14ac:dyDescent="0.25">
      <c r="C6" s="174" t="s">
        <v>12</v>
      </c>
      <c r="D6" s="174" t="s">
        <v>97</v>
      </c>
    </row>
    <row r="7" spans="3:4" ht="25.5" x14ac:dyDescent="0.25">
      <c r="C7" s="174" t="s">
        <v>14</v>
      </c>
      <c r="D7" s="174" t="s">
        <v>94</v>
      </c>
    </row>
    <row r="9" spans="3:4" ht="15.75" x14ac:dyDescent="0.25">
      <c r="C9" s="112" t="s">
        <v>93</v>
      </c>
    </row>
    <row r="11" spans="3:4" ht="15.75" thickBot="1" x14ac:dyDescent="0.3">
      <c r="C11" s="173" t="s">
        <v>86</v>
      </c>
      <c r="D11" s="173" t="s">
        <v>87</v>
      </c>
    </row>
    <row r="12" spans="3:4" ht="26.25" thickTop="1" x14ac:dyDescent="0.25">
      <c r="C12" s="175" t="s">
        <v>377</v>
      </c>
      <c r="D12" s="175" t="s">
        <v>378</v>
      </c>
    </row>
    <row r="13" spans="3:4" x14ac:dyDescent="0.25">
      <c r="C13" s="175" t="s">
        <v>1</v>
      </c>
      <c r="D13" s="175" t="s">
        <v>379</v>
      </c>
    </row>
    <row r="14" spans="3:4" x14ac:dyDescent="0.25">
      <c r="C14" s="175" t="s">
        <v>175</v>
      </c>
      <c r="D14" s="175" t="s">
        <v>380</v>
      </c>
    </row>
    <row r="15" spans="3:4" x14ac:dyDescent="0.25">
      <c r="C15" s="175" t="s">
        <v>243</v>
      </c>
      <c r="D15" s="175" t="s">
        <v>381</v>
      </c>
    </row>
    <row r="16" spans="3:4" x14ac:dyDescent="0.25">
      <c r="C16" s="175" t="s">
        <v>244</v>
      </c>
      <c r="D16" s="175" t="s">
        <v>382</v>
      </c>
    </row>
    <row r="17" spans="3:4" ht="25.5" x14ac:dyDescent="0.25">
      <c r="C17" s="175" t="s">
        <v>383</v>
      </c>
      <c r="D17" s="175" t="s">
        <v>384</v>
      </c>
    </row>
    <row r="18" spans="3:4" ht="25.5" x14ac:dyDescent="0.25">
      <c r="C18" s="175" t="s">
        <v>385</v>
      </c>
      <c r="D18" s="175" t="s">
        <v>386</v>
      </c>
    </row>
    <row r="19" spans="3:4" x14ac:dyDescent="0.25">
      <c r="C19" s="175" t="s">
        <v>57</v>
      </c>
      <c r="D19" s="175" t="s">
        <v>245</v>
      </c>
    </row>
    <row r="20" spans="3:4" ht="38.25" x14ac:dyDescent="0.25">
      <c r="C20" s="175" t="s">
        <v>242</v>
      </c>
      <c r="D20" s="175" t="s">
        <v>387</v>
      </c>
    </row>
    <row r="21" spans="3:4" x14ac:dyDescent="0.25">
      <c r="C21" s="175" t="s">
        <v>248</v>
      </c>
      <c r="D21" s="175" t="s">
        <v>388</v>
      </c>
    </row>
    <row r="22" spans="3:4" ht="38.25" x14ac:dyDescent="0.25">
      <c r="C22" s="175" t="s">
        <v>389</v>
      </c>
      <c r="D22" s="175" t="s">
        <v>390</v>
      </c>
    </row>
    <row r="23" spans="3:4" ht="38.25" x14ac:dyDescent="0.25">
      <c r="C23" s="175" t="s">
        <v>391</v>
      </c>
      <c r="D23" s="175" t="s">
        <v>392</v>
      </c>
    </row>
    <row r="24" spans="3:4" ht="25.5" x14ac:dyDescent="0.25">
      <c r="C24" s="174" t="s">
        <v>88</v>
      </c>
      <c r="D24" s="174" t="s">
        <v>393</v>
      </c>
    </row>
    <row r="25" spans="3:4" ht="25.5" x14ac:dyDescent="0.25">
      <c r="C25" s="174" t="s">
        <v>89</v>
      </c>
      <c r="D25" s="174" t="s">
        <v>96</v>
      </c>
    </row>
    <row r="26" spans="3:4" x14ac:dyDescent="0.25">
      <c r="C26" s="174" t="s">
        <v>90</v>
      </c>
      <c r="D26" s="174" t="s">
        <v>394</v>
      </c>
    </row>
    <row r="27" spans="3:4" ht="51" x14ac:dyDescent="0.25">
      <c r="C27" s="174" t="s">
        <v>395</v>
      </c>
      <c r="D27" s="174" t="s">
        <v>396</v>
      </c>
    </row>
    <row r="28" spans="3:4" ht="25.5" x14ac:dyDescent="0.25">
      <c r="C28" s="174" t="s">
        <v>397</v>
      </c>
      <c r="D28" s="174" t="s">
        <v>398</v>
      </c>
    </row>
    <row r="29" spans="3:4" ht="25.5" x14ac:dyDescent="0.25">
      <c r="C29" s="174" t="s">
        <v>100</v>
      </c>
      <c r="D29" s="174" t="s">
        <v>399</v>
      </c>
    </row>
    <row r="30" spans="3:4" ht="25.5" x14ac:dyDescent="0.25">
      <c r="C30" s="174" t="s">
        <v>147</v>
      </c>
      <c r="D30" s="174" t="s">
        <v>400</v>
      </c>
    </row>
    <row r="31" spans="3:4" x14ac:dyDescent="0.25">
      <c r="C31" s="174" t="s">
        <v>401</v>
      </c>
      <c r="D31" s="174" t="s">
        <v>402</v>
      </c>
    </row>
    <row r="32" spans="3:4" x14ac:dyDescent="0.25">
      <c r="C32" s="174" t="s">
        <v>101</v>
      </c>
      <c r="D32" s="174" t="s">
        <v>91</v>
      </c>
    </row>
    <row r="33" spans="3:4" ht="25.5" x14ac:dyDescent="0.25">
      <c r="C33" s="174" t="s">
        <v>206</v>
      </c>
      <c r="D33" s="174" t="s">
        <v>403</v>
      </c>
    </row>
    <row r="34" spans="3:4" ht="25.5" x14ac:dyDescent="0.25">
      <c r="C34" s="174" t="s">
        <v>404</v>
      </c>
      <c r="D34" s="174" t="s">
        <v>405</v>
      </c>
    </row>
    <row r="35" spans="3:4" ht="25.5" x14ac:dyDescent="0.25">
      <c r="C35" s="174" t="s">
        <v>278</v>
      </c>
      <c r="D35" s="174" t="s">
        <v>406</v>
      </c>
    </row>
    <row r="36" spans="3:4" x14ac:dyDescent="0.25">
      <c r="C36" s="174" t="s">
        <v>407</v>
      </c>
      <c r="D36" s="174" t="s">
        <v>408</v>
      </c>
    </row>
  </sheetData>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zoomScaleNormal="100" workbookViewId="0"/>
  </sheetViews>
  <sheetFormatPr defaultRowHeight="15" x14ac:dyDescent="0.25"/>
  <cols>
    <col min="1" max="1" width="5.7109375" customWidth="1"/>
    <col min="2" max="2" width="212.42578125" customWidth="1"/>
  </cols>
  <sheetData>
    <row r="2" spans="2:2" x14ac:dyDescent="0.25">
      <c r="B2" s="102" t="s">
        <v>200</v>
      </c>
    </row>
    <row r="3" spans="2:2" ht="409.6" x14ac:dyDescent="0.25">
      <c r="B3" s="106" t="s">
        <v>199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W160"/>
  <sheetViews>
    <sheetView showGridLines="0" view="pageBreakPreview" zoomScaleNormal="110" zoomScaleSheetLayoutView="100" workbookViewId="0">
      <pane ySplit="6" topLeftCell="A91" activePane="bottomLeft" state="frozen"/>
      <selection pane="bottomLeft" activeCell="A7" sqref="A7"/>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5" style="6" customWidth="1"/>
    <col min="7" max="7" width="5.85546875" style="37" customWidth="1"/>
    <col min="8" max="8" width="12.7109375" style="6" hidden="1" customWidth="1" outlineLevel="1"/>
    <col min="9" max="9" width="12.7109375" style="6" customWidth="1" collapsed="1"/>
    <col min="10" max="18" width="12.7109375" style="6" customWidth="1"/>
    <col min="19" max="19" width="2.140625" style="6" customWidth="1"/>
    <col min="20" max="16384" width="9.140625" style="6"/>
  </cols>
  <sheetData>
    <row r="1" spans="1:21" ht="5.25" customHeight="1" x14ac:dyDescent="0.2"/>
    <row r="2" spans="1:21" ht="13.5" customHeight="1" x14ac:dyDescent="0.25">
      <c r="C2" s="50" t="s">
        <v>176</v>
      </c>
    </row>
    <row r="3" spans="1:21" ht="13.5" customHeight="1" x14ac:dyDescent="0.25">
      <c r="C3" s="50"/>
    </row>
    <row r="4" spans="1:21" ht="15" customHeight="1" x14ac:dyDescent="0.2">
      <c r="C4" s="240" t="s">
        <v>294</v>
      </c>
      <c r="G4" s="6"/>
      <c r="H4" s="214" t="s">
        <v>292</v>
      </c>
      <c r="I4" s="214" t="s">
        <v>292</v>
      </c>
      <c r="J4" s="214" t="s">
        <v>292</v>
      </c>
      <c r="K4" s="214" t="s">
        <v>292</v>
      </c>
      <c r="L4" s="214" t="s">
        <v>292</v>
      </c>
      <c r="M4" s="214" t="s">
        <v>292</v>
      </c>
      <c r="N4" s="214" t="s">
        <v>292</v>
      </c>
      <c r="O4" s="214" t="s">
        <v>293</v>
      </c>
      <c r="P4" s="214" t="s">
        <v>293</v>
      </c>
      <c r="Q4" s="214" t="s">
        <v>293</v>
      </c>
      <c r="R4" s="214" t="s">
        <v>293</v>
      </c>
    </row>
    <row r="5" spans="1:21" ht="5.0999999999999996" customHeight="1" x14ac:dyDescent="0.25">
      <c r="C5" s="50"/>
      <c r="H5" s="216"/>
      <c r="I5" s="215"/>
      <c r="J5" s="215"/>
      <c r="K5" s="215"/>
      <c r="L5" s="215"/>
      <c r="M5" s="215"/>
      <c r="N5" s="215"/>
      <c r="O5" s="216"/>
      <c r="P5" s="217"/>
      <c r="Q5" s="217"/>
      <c r="R5" s="217"/>
    </row>
    <row r="6" spans="1:21" s="7" customFormat="1" ht="13.5" customHeight="1" thickBot="1" x14ac:dyDescent="0.3">
      <c r="C6" s="100" t="s">
        <v>189</v>
      </c>
      <c r="D6" s="8"/>
      <c r="E6" s="9"/>
      <c r="F6" s="9"/>
      <c r="G6" s="38" t="s">
        <v>140</v>
      </c>
      <c r="H6" s="10">
        <v>2014</v>
      </c>
      <c r="I6" s="10">
        <v>2015</v>
      </c>
      <c r="J6" s="10">
        <v>2016</v>
      </c>
      <c r="K6" s="10">
        <v>2017</v>
      </c>
      <c r="L6" s="10">
        <v>2018</v>
      </c>
      <c r="M6" s="10">
        <v>2019</v>
      </c>
      <c r="N6" s="10">
        <v>2020</v>
      </c>
      <c r="O6" s="10">
        <v>2021</v>
      </c>
      <c r="P6" s="10">
        <v>2022</v>
      </c>
      <c r="Q6" s="10">
        <v>2023</v>
      </c>
      <c r="R6" s="10">
        <v>2024</v>
      </c>
      <c r="S6" s="11"/>
    </row>
    <row r="7" spans="1:21" s="7" customFormat="1" ht="8.85" customHeight="1" thickTop="1" x14ac:dyDescent="0.25">
      <c r="C7" s="83"/>
      <c r="D7" s="83"/>
      <c r="E7" s="84"/>
      <c r="F7" s="84"/>
      <c r="G7" s="85"/>
      <c r="H7" s="86"/>
      <c r="I7" s="86"/>
      <c r="J7" s="86"/>
      <c r="K7" s="86"/>
      <c r="L7" s="86"/>
      <c r="M7" s="86"/>
      <c r="N7" s="86"/>
      <c r="O7" s="86"/>
      <c r="P7" s="86"/>
      <c r="Q7" s="86"/>
      <c r="R7" s="86"/>
      <c r="S7" s="11"/>
    </row>
    <row r="8" spans="1:21" s="7" customFormat="1" ht="13.5" customHeight="1" x14ac:dyDescent="0.25">
      <c r="C8" s="47" t="s">
        <v>190</v>
      </c>
      <c r="D8" s="47"/>
      <c r="G8" s="41"/>
      <c r="O8" s="177"/>
    </row>
    <row r="9" spans="1:21" s="7" customFormat="1" ht="13.5" customHeight="1" x14ac:dyDescent="0.25">
      <c r="D9" s="12" t="s">
        <v>101</v>
      </c>
      <c r="E9" s="12"/>
      <c r="F9" s="12"/>
      <c r="G9" s="48" t="s">
        <v>141</v>
      </c>
      <c r="H9" s="49">
        <v>264.8</v>
      </c>
      <c r="I9" s="49">
        <v>308.49400000000003</v>
      </c>
      <c r="J9" s="49">
        <v>359.46800000000002</v>
      </c>
      <c r="K9" s="49">
        <v>439.68700000000001</v>
      </c>
      <c r="L9" s="49">
        <v>515.62400000000002</v>
      </c>
      <c r="M9" s="49">
        <v>611.32100000000003</v>
      </c>
      <c r="N9" s="49">
        <v>646.93200000000002</v>
      </c>
      <c r="O9" s="49">
        <v>769.58299999999997</v>
      </c>
      <c r="P9" s="49">
        <v>802.09799999999996</v>
      </c>
      <c r="Q9" s="49">
        <v>797.31200000000001</v>
      </c>
      <c r="R9" s="49">
        <v>839.74599999999998</v>
      </c>
    </row>
    <row r="10" spans="1:21" s="7" customFormat="1" ht="13.5" customHeight="1" x14ac:dyDescent="0.25">
      <c r="D10" s="13" t="s">
        <v>90</v>
      </c>
      <c r="E10" s="14"/>
      <c r="F10" s="14"/>
      <c r="G10" s="15" t="s">
        <v>141</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row>
    <row r="11" spans="1:21" s="7" customFormat="1" ht="13.5" customHeight="1" x14ac:dyDescent="0.25">
      <c r="D11" s="13" t="s">
        <v>186</v>
      </c>
      <c r="E11" s="13"/>
      <c r="F11" s="13"/>
      <c r="G11" s="40" t="s">
        <v>141</v>
      </c>
      <c r="H11" s="18"/>
      <c r="I11" s="18">
        <f t="shared" ref="I11:K11" si="0">ROUND(+I12-H12-I9-I10,0)</f>
        <v>49</v>
      </c>
      <c r="J11" s="18">
        <f t="shared" si="0"/>
        <v>61</v>
      </c>
      <c r="K11" s="18">
        <f t="shared" si="0"/>
        <v>6</v>
      </c>
      <c r="L11" s="18">
        <f>ROUND(+L12-K12-L9-L10,0)</f>
        <v>0</v>
      </c>
      <c r="M11" s="18">
        <f t="shared" ref="M11:R11" si="1">ROUND(+M12-L12-M9-M10,0)</f>
        <v>0</v>
      </c>
      <c r="N11" s="18">
        <f t="shared" si="1"/>
        <v>0</v>
      </c>
      <c r="O11" s="18">
        <f>ROUND(+O12-N12-O9-O10,0)</f>
        <v>0</v>
      </c>
      <c r="P11" s="18">
        <f t="shared" si="1"/>
        <v>0</v>
      </c>
      <c r="Q11" s="18">
        <f t="shared" si="1"/>
        <v>0</v>
      </c>
      <c r="R11" s="18">
        <f t="shared" si="1"/>
        <v>0</v>
      </c>
    </row>
    <row r="12" spans="1:21" s="20" customFormat="1" ht="13.5" customHeight="1" x14ac:dyDescent="0.25">
      <c r="A12" s="7"/>
      <c r="B12" s="7"/>
      <c r="C12" s="7"/>
      <c r="D12" s="19" t="s">
        <v>145</v>
      </c>
      <c r="E12" s="13"/>
      <c r="F12" s="13"/>
      <c r="G12" s="40" t="s">
        <v>141</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T12" s="180"/>
      <c r="U12" s="180"/>
    </row>
    <row r="13" spans="1:21" s="20" customFormat="1" ht="13.5" customHeight="1" x14ac:dyDescent="0.25">
      <c r="A13" s="7"/>
      <c r="B13" s="7"/>
      <c r="C13" s="7"/>
      <c r="D13" s="34" t="s">
        <v>146</v>
      </c>
      <c r="E13" s="13"/>
      <c r="F13" s="13"/>
      <c r="G13" s="40" t="s">
        <v>141</v>
      </c>
      <c r="H13" s="203"/>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row>
    <row r="14" spans="1:21" s="7" customFormat="1" ht="13.5" customHeight="1" x14ac:dyDescent="0.25">
      <c r="D14" s="34" t="s">
        <v>146</v>
      </c>
      <c r="E14" s="34"/>
      <c r="F14" s="13"/>
      <c r="G14" s="22" t="s">
        <v>144</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R14" si="8">+IFERROR(Q12/P12-1,"n.a.")</f>
        <v>8.8578789532284485E-2</v>
      </c>
      <c r="R14" s="36">
        <f t="shared" si="8"/>
        <v>8.4796111835380161E-2</v>
      </c>
    </row>
    <row r="15" spans="1:21" s="20" customFormat="1" ht="13.5" customHeight="1" x14ac:dyDescent="0.25">
      <c r="A15" s="7"/>
      <c r="B15" s="7"/>
      <c r="C15" s="7"/>
      <c r="D15" s="19" t="s">
        <v>165</v>
      </c>
      <c r="E15" s="13"/>
      <c r="F15" s="13"/>
      <c r="G15" s="40" t="s">
        <v>141</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7"/>
    </row>
    <row r="16" spans="1:21" s="7" customFormat="1" ht="13.5" customHeight="1" x14ac:dyDescent="0.25">
      <c r="D16" s="19" t="s">
        <v>88</v>
      </c>
      <c r="E16" s="13"/>
      <c r="F16" s="13"/>
      <c r="G16" s="22" t="s">
        <v>144</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row>
    <row r="17" spans="3:21" s="24" customFormat="1" ht="12" customHeight="1" x14ac:dyDescent="0.25">
      <c r="G17" s="41"/>
    </row>
    <row r="18" spans="3:21" s="7" customFormat="1" ht="13.5" customHeight="1" x14ac:dyDescent="0.25">
      <c r="C18" s="47" t="s">
        <v>10</v>
      </c>
      <c r="G18" s="41"/>
      <c r="M18" s="242"/>
      <c r="N18" s="242"/>
      <c r="O18" s="24"/>
      <c r="P18" s="242"/>
      <c r="Q18" s="242"/>
      <c r="R18" s="242"/>
    </row>
    <row r="19" spans="3:21" s="7" customFormat="1" ht="13.5" customHeight="1" x14ac:dyDescent="0.25">
      <c r="D19" s="33" t="s">
        <v>198</v>
      </c>
      <c r="E19" s="12"/>
      <c r="F19" s="12"/>
      <c r="G19" s="39"/>
      <c r="H19" s="12"/>
      <c r="I19" s="12"/>
      <c r="J19" s="12"/>
      <c r="K19" s="12"/>
      <c r="L19" s="12"/>
      <c r="M19" s="12"/>
      <c r="N19" s="12"/>
      <c r="O19" s="12"/>
      <c r="P19" s="12"/>
      <c r="Q19" s="12"/>
      <c r="R19" s="12"/>
    </row>
    <row r="20" spans="3:21" s="7" customFormat="1" ht="13.5" customHeight="1" x14ac:dyDescent="0.25">
      <c r="D20" s="13" t="s">
        <v>100</v>
      </c>
      <c r="E20" s="13"/>
      <c r="F20" s="13"/>
      <c r="G20" s="22" t="s">
        <v>143</v>
      </c>
      <c r="H20" s="25">
        <f t="shared" ref="H20:Q20" si="10">H28*10^3/H15/12</f>
        <v>37.445814107978848</v>
      </c>
      <c r="I20" s="25">
        <f t="shared" si="10"/>
        <v>38.079666979147049</v>
      </c>
      <c r="J20" s="25">
        <f t="shared" si="10"/>
        <v>38.894543180066947</v>
      </c>
      <c r="K20" s="25">
        <f t="shared" si="10"/>
        <v>39.663407690919712</v>
      </c>
      <c r="L20" s="25">
        <f t="shared" si="10"/>
        <v>40.214200530673942</v>
      </c>
      <c r="M20" s="25">
        <f t="shared" si="10"/>
        <v>41.195662962680451</v>
      </c>
      <c r="N20" s="25">
        <f t="shared" si="10"/>
        <v>41.229261260974454</v>
      </c>
      <c r="O20" s="25">
        <f t="shared" si="10"/>
        <v>42.388728170356607</v>
      </c>
      <c r="P20" s="25">
        <f t="shared" si="10"/>
        <v>43.449842599764139</v>
      </c>
      <c r="Q20" s="25">
        <f t="shared" si="10"/>
        <v>44.235728812694425</v>
      </c>
      <c r="R20" s="25">
        <f t="shared" ref="R20" si="11">R28*10^3/R15/12</f>
        <v>45.561263344225466</v>
      </c>
      <c r="T20" s="177"/>
    </row>
    <row r="21" spans="3:21" s="7" customFormat="1" ht="13.5" customHeight="1" x14ac:dyDescent="0.25">
      <c r="D21" s="34" t="s">
        <v>146</v>
      </c>
      <c r="E21" s="13"/>
      <c r="F21" s="19"/>
      <c r="G21" s="42" t="s">
        <v>144</v>
      </c>
      <c r="H21" s="13"/>
      <c r="I21" s="52">
        <f>+IFERROR(I20/H20-1,"n.a.")</f>
        <v>1.692720231266498E-2</v>
      </c>
      <c r="J21" s="52">
        <f>+IFERROR(J20/I20-1,"n.a.")</f>
        <v>2.1399247040845504E-2</v>
      </c>
      <c r="K21" s="52">
        <f t="shared" ref="K21:R21" si="12">+IFERROR(K20/J20-1,"n.a.")</f>
        <v>1.9767927528888007E-2</v>
      </c>
      <c r="L21" s="52">
        <f t="shared" si="12"/>
        <v>1.3886674691351075E-2</v>
      </c>
      <c r="M21" s="52">
        <f t="shared" si="12"/>
        <v>2.4405867058276742E-2</v>
      </c>
      <c r="N21" s="52">
        <f t="shared" si="12"/>
        <v>8.1557853127489643E-4</v>
      </c>
      <c r="O21" s="52">
        <f>+IFERROR(O20/N20-1,"n.a.")</f>
        <v>2.8122427468271205E-2</v>
      </c>
      <c r="P21" s="52">
        <f t="shared" si="12"/>
        <v>2.5032938594972798E-2</v>
      </c>
      <c r="Q21" s="52">
        <f t="shared" si="12"/>
        <v>1.8087205060083544E-2</v>
      </c>
      <c r="R21" s="52">
        <f t="shared" si="12"/>
        <v>2.9965246806347379E-2</v>
      </c>
    </row>
    <row r="22" spans="3:21" s="7" customFormat="1" ht="13.5" customHeight="1" x14ac:dyDescent="0.25">
      <c r="D22" s="13" t="s">
        <v>147</v>
      </c>
      <c r="E22" s="13"/>
      <c r="F22" s="13"/>
      <c r="G22" s="22" t="s">
        <v>143</v>
      </c>
      <c r="H22" s="25">
        <f t="shared" ref="H22:Q22" si="13">H30*10^3/H15/12</f>
        <v>21.616072906152038</v>
      </c>
      <c r="I22" s="25">
        <f t="shared" si="13"/>
        <v>23.002885329575104</v>
      </c>
      <c r="J22" s="25">
        <f t="shared" si="13"/>
        <v>24.560915043690127</v>
      </c>
      <c r="K22" s="25">
        <f t="shared" si="13"/>
        <v>26.028135125215119</v>
      </c>
      <c r="L22" s="25">
        <f t="shared" si="13"/>
        <v>26.940939748508807</v>
      </c>
      <c r="M22" s="25">
        <f t="shared" si="13"/>
        <v>28.60006725622782</v>
      </c>
      <c r="N22" s="25">
        <f t="shared" si="13"/>
        <v>29.745604674955626</v>
      </c>
      <c r="O22" s="25">
        <f t="shared" si="13"/>
        <v>30.643885758451955</v>
      </c>
      <c r="P22" s="25">
        <f t="shared" si="13"/>
        <v>31.218683846150842</v>
      </c>
      <c r="Q22" s="25">
        <f t="shared" si="13"/>
        <v>31.64658739702702</v>
      </c>
      <c r="R22" s="25">
        <f t="shared" ref="R22" si="14">R30*10^3/R15/12</f>
        <v>33.104968205822153</v>
      </c>
      <c r="T22" s="177"/>
    </row>
    <row r="23" spans="3:21" s="7" customFormat="1" ht="13.5" customHeight="1" x14ac:dyDescent="0.25">
      <c r="D23" s="34" t="s">
        <v>146</v>
      </c>
      <c r="E23" s="13"/>
      <c r="F23" s="19"/>
      <c r="G23" s="42" t="s">
        <v>144</v>
      </c>
      <c r="H23" s="13"/>
      <c r="I23" s="52">
        <f>+IFERROR(I22/H22-1,"n.a.")</f>
        <v>6.4156538953399567E-2</v>
      </c>
      <c r="J23" s="52">
        <f>+IFERROR(J22/I22-1,"n.a.")</f>
        <v>6.7731925442928942E-2</v>
      </c>
      <c r="K23" s="52">
        <f t="shared" ref="K23" si="15">+IFERROR(K22/J22-1,"n.a.")</f>
        <v>5.9738005644945691E-2</v>
      </c>
      <c r="L23" s="52">
        <f t="shared" ref="L23" si="16">+IFERROR(L22/K22-1,"n.a.")</f>
        <v>3.5069920257536857E-2</v>
      </c>
      <c r="M23" s="52">
        <f t="shared" ref="M23" si="17">+IFERROR(M22/L22-1,"n.a.")</f>
        <v>6.1583876553929384E-2</v>
      </c>
      <c r="N23" s="52">
        <f t="shared" ref="N23" si="18">+IFERROR(N22/M22-1,"n.a.")</f>
        <v>4.0053661708727484E-2</v>
      </c>
      <c r="O23" s="52">
        <f>+IFERROR(O22/N22-1,"n.a.")</f>
        <v>3.0198783763593751E-2</v>
      </c>
      <c r="P23" s="52">
        <f t="shared" ref="P23" si="19">+IFERROR(P22/O22-1,"n.a.")</f>
        <v>1.8757349907570164E-2</v>
      </c>
      <c r="Q23" s="52">
        <f t="shared" ref="Q23:R23" si="20">+IFERROR(Q22/P22-1,"n.a.")</f>
        <v>1.3706649293254491E-2</v>
      </c>
      <c r="R23" s="52">
        <f t="shared" si="20"/>
        <v>4.6083351436879916E-2</v>
      </c>
    </row>
    <row r="24" spans="3:21" s="20" customFormat="1" ht="13.5" customHeight="1" x14ac:dyDescent="0.25">
      <c r="D24" s="13" t="s">
        <v>295</v>
      </c>
      <c r="E24" s="13"/>
      <c r="F24" s="13"/>
      <c r="G24" s="22" t="s">
        <v>142</v>
      </c>
      <c r="H24" s="17">
        <f t="shared" ref="H24:Q24" si="21">+H12*H20*12/1000</f>
        <v>803.63465204951501</v>
      </c>
      <c r="I24" s="17">
        <f t="shared" si="21"/>
        <v>921.46229154948662</v>
      </c>
      <c r="J24" s="17">
        <f t="shared" si="21"/>
        <v>1070.6857175192558</v>
      </c>
      <c r="K24" s="17">
        <f t="shared" si="21"/>
        <v>1230.8934106543722</v>
      </c>
      <c r="L24" s="17">
        <f t="shared" si="21"/>
        <v>1414.2946661744911</v>
      </c>
      <c r="M24" s="17">
        <f t="shared" si="21"/>
        <v>1654.4402350218986</v>
      </c>
      <c r="N24" s="17">
        <f t="shared" si="21"/>
        <v>1862.2160613232618</v>
      </c>
      <c r="O24" s="17">
        <f t="shared" si="21"/>
        <v>2174.4537561396123</v>
      </c>
      <c r="P24" s="17">
        <f t="shared" si="21"/>
        <v>2477.7344000257367</v>
      </c>
      <c r="Q24" s="17">
        <f t="shared" si="21"/>
        <v>2745.9940882966835</v>
      </c>
      <c r="R24" s="17">
        <f t="shared" ref="R24" si="22">+R12*R20*12/1000</f>
        <v>3068.1054970780788</v>
      </c>
      <c r="U24" s="180"/>
    </row>
    <row r="25" spans="3:21" s="7" customFormat="1" ht="13.5" customHeight="1" x14ac:dyDescent="0.25">
      <c r="D25" s="34" t="s">
        <v>146</v>
      </c>
      <c r="E25" s="13"/>
      <c r="F25" s="13"/>
      <c r="G25" s="42" t="s">
        <v>144</v>
      </c>
      <c r="H25" s="13"/>
      <c r="I25" s="52">
        <f t="shared" ref="I25:R25" si="23">+IFERROR(I24/H24-1,"n.a.")</f>
        <v>0.14661841571847978</v>
      </c>
      <c r="J25" s="52">
        <f t="shared" si="23"/>
        <v>0.16194197780881758</v>
      </c>
      <c r="K25" s="52">
        <f t="shared" si="23"/>
        <v>0.14963092391510791</v>
      </c>
      <c r="L25" s="52">
        <f t="shared" si="23"/>
        <v>0.14899848673543414</v>
      </c>
      <c r="M25" s="52">
        <f t="shared" si="23"/>
        <v>0.1697988224030953</v>
      </c>
      <c r="N25" s="52">
        <f t="shared" si="23"/>
        <v>0.1255867827093875</v>
      </c>
      <c r="O25" s="52">
        <f>+IFERROR(O24/N24-1,"n.a.")</f>
        <v>0.16766996123665656</v>
      </c>
      <c r="P25" s="52">
        <f t="shared" si="23"/>
        <v>0.13947440502232133</v>
      </c>
      <c r="Q25" s="52">
        <f t="shared" si="23"/>
        <v>0.1082681373226122</v>
      </c>
      <c r="R25" s="52">
        <f t="shared" si="23"/>
        <v>0.11730229506109335</v>
      </c>
    </row>
    <row r="26" spans="3:21" s="7" customFormat="1" ht="12" customHeight="1" x14ac:dyDescent="0.25">
      <c r="D26" s="103"/>
      <c r="F26" s="32"/>
      <c r="G26" s="104"/>
      <c r="J26" s="105"/>
      <c r="K26" s="81"/>
      <c r="L26" s="81"/>
      <c r="M26" s="81"/>
      <c r="N26" s="202"/>
      <c r="O26" s="202"/>
      <c r="P26" s="202"/>
      <c r="Q26" s="202"/>
      <c r="R26" s="202"/>
      <c r="T26" s="177"/>
    </row>
    <row r="27" spans="3:21" s="7" customFormat="1" ht="13.5" customHeight="1" x14ac:dyDescent="0.25">
      <c r="D27" s="33" t="s">
        <v>151</v>
      </c>
      <c r="E27" s="12"/>
      <c r="F27" s="12"/>
      <c r="G27" s="39"/>
      <c r="H27" s="12"/>
      <c r="I27" s="12"/>
      <c r="J27" s="12"/>
      <c r="K27" s="12"/>
      <c r="L27" s="12"/>
      <c r="M27" s="12"/>
      <c r="N27" s="12"/>
      <c r="O27" s="12"/>
      <c r="P27" s="12"/>
      <c r="Q27" s="12"/>
      <c r="R27" s="12"/>
    </row>
    <row r="28" spans="3:21" s="20" customFormat="1" ht="13.5" customHeight="1" x14ac:dyDescent="0.25">
      <c r="D28" s="13" t="s">
        <v>167</v>
      </c>
      <c r="E28" s="13"/>
      <c r="F28" s="13"/>
      <c r="G28" s="22" t="s">
        <v>142</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row>
    <row r="29" spans="3:21" s="7" customFormat="1" ht="13.5" customHeight="1" x14ac:dyDescent="0.25">
      <c r="D29" s="34" t="s">
        <v>146</v>
      </c>
      <c r="E29" s="19"/>
      <c r="F29" s="19"/>
      <c r="G29" s="42" t="s">
        <v>144</v>
      </c>
      <c r="H29" s="13"/>
      <c r="I29" s="52">
        <f t="shared" ref="I29:R29" si="24">+IFERROR(I28/H28-1,"n.a.")</f>
        <v>0.13072653488676522</v>
      </c>
      <c r="J29" s="52">
        <f t="shared" si="24"/>
        <v>0.15474054195484421</v>
      </c>
      <c r="K29" s="52">
        <f t="shared" si="24"/>
        <v>0.16099420405225073</v>
      </c>
      <c r="L29" s="52">
        <f t="shared" si="24"/>
        <v>0.14813126079447336</v>
      </c>
      <c r="M29" s="52">
        <f t="shared" si="24"/>
        <v>0.16501997689419445</v>
      </c>
      <c r="N29" s="52">
        <f t="shared" si="24"/>
        <v>0.12372686799196342</v>
      </c>
      <c r="O29" s="52">
        <f>+IFERROR(O28/N28-1,"n.a.")</f>
        <v>0.1741326603013591</v>
      </c>
      <c r="P29" s="52">
        <f t="shared" si="24"/>
        <v>0.15388225024257784</v>
      </c>
      <c r="Q29" s="52">
        <f t="shared" si="24"/>
        <v>0.11752223557539399</v>
      </c>
      <c r="R29" s="52">
        <f t="shared" si="24"/>
        <v>0.11858828654412013</v>
      </c>
    </row>
    <row r="30" spans="3:21" s="20" customFormat="1" ht="13.5" customHeight="1" x14ac:dyDescent="0.25">
      <c r="D30" s="13" t="s">
        <v>11</v>
      </c>
      <c r="E30" s="13"/>
      <c r="F30" s="13"/>
      <c r="G30" s="22" t="s">
        <v>142</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row>
    <row r="31" spans="3:21" s="7" customFormat="1" ht="13.5" customHeight="1" x14ac:dyDescent="0.25">
      <c r="D31" s="34" t="s">
        <v>148</v>
      </c>
      <c r="E31" s="13"/>
      <c r="F31" s="13"/>
      <c r="G31" s="42" t="s">
        <v>144</v>
      </c>
      <c r="H31" s="13"/>
      <c r="I31" s="45">
        <f t="shared" ref="I31:R31" si="25">+IFERROR(I30/I28,"n.a.")</f>
        <v>0.60407264964191532</v>
      </c>
      <c r="J31" s="52">
        <f t="shared" si="25"/>
        <v>0.6314745729235699</v>
      </c>
      <c r="K31" s="52">
        <f t="shared" si="25"/>
        <v>0.6562253886010363</v>
      </c>
      <c r="L31" s="52">
        <f t="shared" si="25"/>
        <v>0.66993597766438806</v>
      </c>
      <c r="M31" s="52">
        <f t="shared" si="25"/>
        <v>0.69424947189554642</v>
      </c>
      <c r="N31" s="52">
        <f t="shared" si="25"/>
        <v>0.72146829133490487</v>
      </c>
      <c r="O31" s="52">
        <f t="shared" si="25"/>
        <v>0.72292534079571436</v>
      </c>
      <c r="P31" s="52">
        <f t="shared" si="25"/>
        <v>0.718499354156931</v>
      </c>
      <c r="Q31" s="52">
        <f t="shared" si="25"/>
        <v>0.71540784443785022</v>
      </c>
      <c r="R31" s="52">
        <f t="shared" si="25"/>
        <v>0.72660338576888794</v>
      </c>
    </row>
    <row r="32" spans="3:21" s="7" customFormat="1" ht="13.5" customHeight="1" x14ac:dyDescent="0.25">
      <c r="D32" s="13" t="s">
        <v>296</v>
      </c>
      <c r="E32" s="13"/>
      <c r="F32" s="13"/>
      <c r="G32" s="22" t="s">
        <v>142</v>
      </c>
      <c r="H32" s="13"/>
      <c r="I32" s="44">
        <v>-60.5</v>
      </c>
      <c r="J32" s="44">
        <v>-75.7</v>
      </c>
      <c r="K32" s="44">
        <v>-40.151000000000003</v>
      </c>
      <c r="L32" s="44">
        <v>-47.5</v>
      </c>
      <c r="M32" s="44">
        <v>-52</v>
      </c>
      <c r="N32" s="44">
        <v>-51.5</v>
      </c>
      <c r="O32" s="44">
        <v>-68.7</v>
      </c>
      <c r="P32" s="44">
        <v>-94.1</v>
      </c>
      <c r="Q32" s="44">
        <v>-117.8</v>
      </c>
      <c r="R32" s="44">
        <v>-155.1</v>
      </c>
      <c r="U32" s="27"/>
    </row>
    <row r="33" spans="3:21" s="7" customFormat="1" ht="13.5" customHeight="1" x14ac:dyDescent="0.25">
      <c r="D33" s="34" t="s">
        <v>349</v>
      </c>
      <c r="E33" s="13"/>
      <c r="F33" s="13"/>
      <c r="G33" s="42" t="s">
        <v>144</v>
      </c>
      <c r="H33" s="13"/>
      <c r="I33" s="45">
        <f t="shared" ref="I33:R33" si="26">+IFERROR(-I32/I28,"n.a.")</f>
        <v>7.0042442246822628E-2</v>
      </c>
      <c r="J33" s="52">
        <f t="shared" si="26"/>
        <v>7.5895735100825021E-2</v>
      </c>
      <c r="K33" s="52">
        <f t="shared" si="26"/>
        <v>3.4672711571675306E-2</v>
      </c>
      <c r="L33" s="52">
        <f t="shared" si="26"/>
        <v>3.5726749783383076E-2</v>
      </c>
      <c r="M33" s="52">
        <f t="shared" si="26"/>
        <v>3.3571432260596952E-2</v>
      </c>
      <c r="N33" s="52">
        <f t="shared" si="26"/>
        <v>2.9587821537750903E-2</v>
      </c>
      <c r="O33" s="52">
        <f t="shared" si="26"/>
        <v>3.3615945408096114E-2</v>
      </c>
      <c r="P33" s="52">
        <f t="shared" si="26"/>
        <v>3.9904026787009182E-2</v>
      </c>
      <c r="Q33" s="52">
        <f t="shared" si="26"/>
        <v>4.4700894852718519E-2</v>
      </c>
      <c r="R33" s="52">
        <f t="shared" si="26"/>
        <v>5.2615349230564115E-2</v>
      </c>
    </row>
    <row r="34" spans="3:21" s="7" customFormat="1" ht="12" customHeight="1" x14ac:dyDescent="0.25">
      <c r="G34" s="41"/>
    </row>
    <row r="35" spans="3:21" s="7" customFormat="1" ht="13.5" customHeight="1" x14ac:dyDescent="0.25">
      <c r="C35" s="47" t="s">
        <v>12</v>
      </c>
      <c r="G35" s="41"/>
    </row>
    <row r="36" spans="3:21" s="7" customFormat="1" ht="13.5" customHeight="1" x14ac:dyDescent="0.25">
      <c r="D36" s="33" t="s">
        <v>198</v>
      </c>
      <c r="E36" s="12"/>
      <c r="F36" s="12"/>
      <c r="G36" s="39"/>
      <c r="H36" s="12"/>
      <c r="I36" s="12"/>
      <c r="J36" s="12"/>
      <c r="K36" s="12"/>
      <c r="L36" s="12"/>
      <c r="M36" s="12"/>
      <c r="N36" s="12"/>
      <c r="O36" s="12"/>
      <c r="P36" s="12"/>
      <c r="Q36" s="12"/>
      <c r="R36" s="12"/>
    </row>
    <row r="37" spans="3:21" s="7" customFormat="1" ht="13.5" customHeight="1" x14ac:dyDescent="0.25">
      <c r="D37" s="13" t="s">
        <v>153</v>
      </c>
      <c r="E37" s="13"/>
      <c r="F37" s="13"/>
      <c r="G37" s="22" t="s">
        <v>143</v>
      </c>
      <c r="H37" s="21"/>
      <c r="I37" s="17">
        <f t="shared" ref="I37:R37" si="27">+I45*1000/I9</f>
        <v>479.93802148502073</v>
      </c>
      <c r="J37" s="17">
        <f t="shared" si="27"/>
        <v>520.40515428355229</v>
      </c>
      <c r="K37" s="17">
        <f t="shared" si="27"/>
        <v>482.16117374404973</v>
      </c>
      <c r="L37" s="17">
        <f t="shared" si="27"/>
        <v>517.47591268055794</v>
      </c>
      <c r="M37" s="17">
        <f t="shared" si="27"/>
        <v>538.33910498739613</v>
      </c>
      <c r="N37" s="17">
        <f t="shared" si="27"/>
        <v>522.67935424434097</v>
      </c>
      <c r="O37" s="17">
        <f t="shared" si="27"/>
        <v>485.31737317482327</v>
      </c>
      <c r="P37" s="17">
        <f t="shared" si="27"/>
        <v>481.18060386636051</v>
      </c>
      <c r="Q37" s="17">
        <f t="shared" si="27"/>
        <v>454.36792623214001</v>
      </c>
      <c r="R37" s="17">
        <f t="shared" si="27"/>
        <v>437.47514129272423</v>
      </c>
    </row>
    <row r="38" spans="3:21" s="7" customFormat="1" ht="13.5" customHeight="1" x14ac:dyDescent="0.25">
      <c r="D38" s="13" t="s">
        <v>154</v>
      </c>
      <c r="E38" s="13"/>
      <c r="F38" s="13"/>
      <c r="G38" s="22" t="s">
        <v>143</v>
      </c>
      <c r="H38" s="21"/>
      <c r="I38" s="17">
        <f t="shared" ref="I38:R38" si="28">+(I48-I45)*1000/I9</f>
        <v>-1628.6086601360155</v>
      </c>
      <c r="J38" s="17">
        <f t="shared" si="28"/>
        <v>-1696.3067644407843</v>
      </c>
      <c r="K38" s="17">
        <f t="shared" si="28"/>
        <v>-1649.4142424042557</v>
      </c>
      <c r="L38" s="17">
        <f t="shared" si="28"/>
        <v>-1737.4967030239086</v>
      </c>
      <c r="M38" s="17">
        <f t="shared" si="28"/>
        <v>-1746.7746077756203</v>
      </c>
      <c r="N38" s="17">
        <f t="shared" si="28"/>
        <v>-1718.1264800628196</v>
      </c>
      <c r="O38" s="17">
        <f t="shared" si="28"/>
        <v>-1742.5943660397907</v>
      </c>
      <c r="P38" s="17">
        <f t="shared" si="28"/>
        <v>-1888.3490546043001</v>
      </c>
      <c r="Q38" s="17">
        <f t="shared" si="28"/>
        <v>-1869.7736895970463</v>
      </c>
      <c r="R38" s="17">
        <f t="shared" si="28"/>
        <v>-1875.877944044985</v>
      </c>
    </row>
    <row r="39" spans="3:21" s="7" customFormat="1" ht="13.5" customHeight="1" x14ac:dyDescent="0.25">
      <c r="D39" s="53" t="s">
        <v>184</v>
      </c>
      <c r="E39" s="13"/>
      <c r="F39" s="13"/>
      <c r="G39" s="42" t="s">
        <v>144</v>
      </c>
      <c r="H39" s="21"/>
      <c r="I39" s="57">
        <f t="shared" ref="I39:R39" si="29">+(I47*1000/(I38*I9))</f>
        <v>0.38498972962644501</v>
      </c>
      <c r="J39" s="57">
        <f t="shared" si="29"/>
        <v>0.40234646619697989</v>
      </c>
      <c r="K39" s="57">
        <f t="shared" si="29"/>
        <v>0.42801416386064484</v>
      </c>
      <c r="L39" s="57">
        <f t="shared" si="29"/>
        <v>0.39212630944474525</v>
      </c>
      <c r="M39" s="57">
        <f t="shared" si="29"/>
        <v>0.39560701977824392</v>
      </c>
      <c r="N39" s="57">
        <f t="shared" si="29"/>
        <v>0.40609044804774763</v>
      </c>
      <c r="O39" s="57">
        <f t="shared" si="29"/>
        <v>0.40746537655351572</v>
      </c>
      <c r="P39" s="57">
        <f t="shared" si="29"/>
        <v>0.38539693564349575</v>
      </c>
      <c r="Q39" s="57">
        <f t="shared" si="29"/>
        <v>0.38734888076345941</v>
      </c>
      <c r="R39" s="57">
        <f t="shared" si="29"/>
        <v>0.36847988999918108</v>
      </c>
    </row>
    <row r="40" spans="3:21" s="7" customFormat="1" ht="13.5" customHeight="1" x14ac:dyDescent="0.25">
      <c r="D40" s="13" t="s">
        <v>155</v>
      </c>
      <c r="E40" s="13"/>
      <c r="F40" s="13"/>
      <c r="G40" s="22" t="s">
        <v>143</v>
      </c>
      <c r="H40" s="21"/>
      <c r="I40" s="17">
        <f t="shared" ref="I40:Q40" si="30">+I37+I38</f>
        <v>-1148.6706386509948</v>
      </c>
      <c r="J40" s="17">
        <f t="shared" si="30"/>
        <v>-1175.901610157232</v>
      </c>
      <c r="K40" s="17">
        <f t="shared" si="30"/>
        <v>-1167.2530686602058</v>
      </c>
      <c r="L40" s="17">
        <f t="shared" si="30"/>
        <v>-1220.0207903433507</v>
      </c>
      <c r="M40" s="17">
        <f t="shared" si="30"/>
        <v>-1208.4355027882243</v>
      </c>
      <c r="N40" s="17">
        <f t="shared" si="30"/>
        <v>-1195.4471258184785</v>
      </c>
      <c r="O40" s="17">
        <f t="shared" si="30"/>
        <v>-1257.2769928649673</v>
      </c>
      <c r="P40" s="17">
        <f t="shared" si="30"/>
        <v>-1407.1684507379396</v>
      </c>
      <c r="Q40" s="17">
        <f t="shared" si="30"/>
        <v>-1415.4057633649063</v>
      </c>
      <c r="R40" s="17">
        <f t="shared" ref="R40" si="31">+R37+R38</f>
        <v>-1438.4028027522609</v>
      </c>
      <c r="T40" s="177"/>
      <c r="U40" s="177"/>
    </row>
    <row r="41" spans="3:21" s="7" customFormat="1" ht="13.5" customHeight="1" x14ac:dyDescent="0.25">
      <c r="D41" s="13" t="s">
        <v>297</v>
      </c>
      <c r="E41" s="13"/>
      <c r="F41" s="13"/>
      <c r="G41" s="22" t="s">
        <v>149</v>
      </c>
      <c r="H41" s="13"/>
      <c r="I41" s="176">
        <f t="shared" ref="I41:R41" si="32">+(-I40/(I22*12))</f>
        <v>4.1613281051244702</v>
      </c>
      <c r="J41" s="176">
        <f t="shared" si="32"/>
        <v>3.9897455234108139</v>
      </c>
      <c r="K41" s="176">
        <f t="shared" si="32"/>
        <v>3.7371516855536999</v>
      </c>
      <c r="L41" s="176">
        <f t="shared" si="32"/>
        <v>3.7737510326048151</v>
      </c>
      <c r="M41" s="176">
        <f t="shared" si="32"/>
        <v>3.5210741871160018</v>
      </c>
      <c r="N41" s="176">
        <f t="shared" si="32"/>
        <v>3.3490861896003854</v>
      </c>
      <c r="O41" s="176">
        <f t="shared" si="32"/>
        <v>3.4190534309066725</v>
      </c>
      <c r="P41" s="176">
        <f t="shared" si="32"/>
        <v>3.756213366949908</v>
      </c>
      <c r="Q41" s="176">
        <f t="shared" si="32"/>
        <v>3.7271153063249245</v>
      </c>
      <c r="R41" s="176">
        <f t="shared" si="32"/>
        <v>3.620813029757695</v>
      </c>
    </row>
    <row r="42" spans="3:21" s="7" customFormat="1" ht="13.5" customHeight="1" x14ac:dyDescent="0.25">
      <c r="D42" s="13" t="s">
        <v>447</v>
      </c>
      <c r="E42" s="13"/>
      <c r="F42" s="13"/>
      <c r="G42" s="22" t="s">
        <v>144</v>
      </c>
      <c r="H42" s="13"/>
      <c r="I42" s="300">
        <f t="shared" ref="I42:R42" si="33">+-I48/(I30+I32)</f>
        <v>0.76821418893284921</v>
      </c>
      <c r="J42" s="300">
        <f t="shared" si="33"/>
        <v>0.76279355981997521</v>
      </c>
      <c r="K42" s="300">
        <f t="shared" si="33"/>
        <v>0.71305355411124294</v>
      </c>
      <c r="L42" s="300">
        <f t="shared" si="33"/>
        <v>0.74604959179510522</v>
      </c>
      <c r="M42" s="300">
        <f t="shared" si="33"/>
        <v>0.72188737360116007</v>
      </c>
      <c r="N42" s="300">
        <f t="shared" si="33"/>
        <v>0.64219023245540474</v>
      </c>
      <c r="O42" s="300">
        <f t="shared" si="33"/>
        <v>0.68684830161784827</v>
      </c>
      <c r="P42" s="300">
        <f t="shared" si="33"/>
        <v>0.70532578027602189</v>
      </c>
      <c r="Q42" s="300">
        <f t="shared" si="33"/>
        <v>0.63848012175320079</v>
      </c>
      <c r="R42" s="300">
        <f t="shared" si="33"/>
        <v>0.60796270160681465</v>
      </c>
    </row>
    <row r="43" spans="3:21" s="7" customFormat="1" ht="12" customHeight="1" x14ac:dyDescent="0.25">
      <c r="D43" s="277"/>
      <c r="F43" s="278"/>
      <c r="G43" s="104"/>
      <c r="J43" s="279"/>
      <c r="K43" s="279"/>
      <c r="L43" s="279"/>
      <c r="M43" s="279"/>
      <c r="N43" s="279"/>
      <c r="O43" s="279"/>
      <c r="P43" s="279"/>
      <c r="Q43" s="279"/>
      <c r="R43" s="279"/>
    </row>
    <row r="44" spans="3:21" s="7" customFormat="1" ht="13.5" customHeight="1" x14ac:dyDescent="0.25">
      <c r="D44" s="33" t="s">
        <v>152</v>
      </c>
      <c r="E44" s="12"/>
      <c r="F44" s="12"/>
      <c r="G44" s="39"/>
      <c r="H44" s="12"/>
      <c r="I44" s="12"/>
      <c r="J44" s="12"/>
      <c r="K44" s="12"/>
      <c r="L44" s="12"/>
      <c r="M44" s="12"/>
      <c r="N44" s="12"/>
      <c r="O44" s="12"/>
      <c r="P44" s="12"/>
      <c r="Q44" s="12"/>
      <c r="R44" s="241"/>
    </row>
    <row r="45" spans="3:21" s="20" customFormat="1" ht="13.5" customHeight="1" x14ac:dyDescent="0.25">
      <c r="D45" s="13" t="s">
        <v>168</v>
      </c>
      <c r="E45" s="13"/>
      <c r="F45" s="13"/>
      <c r="G45" s="22" t="s">
        <v>142</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row>
    <row r="46" spans="3:21" s="20" customFormat="1" ht="13.5" customHeight="1" x14ac:dyDescent="0.25">
      <c r="D46" s="13" t="s">
        <v>13</v>
      </c>
      <c r="E46" s="13"/>
      <c r="F46" s="13"/>
      <c r="G46" s="22" t="s">
        <v>142</v>
      </c>
      <c r="H46" s="44">
        <v>-137.202</v>
      </c>
      <c r="I46" s="44">
        <v>-160.93299999999999</v>
      </c>
      <c r="J46" s="44">
        <v>-177.36099999999999</v>
      </c>
      <c r="K46" s="44">
        <v>-202.81899999999999</v>
      </c>
      <c r="L46" s="44">
        <v>-277.76799999999997</v>
      </c>
      <c r="M46" s="44">
        <v>-316.29700000000003</v>
      </c>
      <c r="N46" s="44">
        <v>-321.99900000000002</v>
      </c>
      <c r="O46" s="44">
        <v>-421.13900000000001</v>
      </c>
      <c r="P46" s="44">
        <v>-544.94899999999996</v>
      </c>
      <c r="Q46" s="44">
        <v>-551.06299999999999</v>
      </c>
      <c r="R46" s="44">
        <v>-627.44100000000003</v>
      </c>
    </row>
    <row r="47" spans="3:21" s="7" customFormat="1" ht="13.5" customHeight="1" x14ac:dyDescent="0.25">
      <c r="D47" s="13" t="s">
        <v>150</v>
      </c>
      <c r="E47" s="13"/>
      <c r="F47" s="13"/>
      <c r="G47" s="22" t="s">
        <v>142</v>
      </c>
      <c r="H47" s="13"/>
      <c r="I47" s="44">
        <v>-193.42500000000001</v>
      </c>
      <c r="J47" s="44">
        <v>-245.33799999999999</v>
      </c>
      <c r="K47" s="44">
        <v>-310.40699999999998</v>
      </c>
      <c r="L47" s="44">
        <v>-351.30399999999997</v>
      </c>
      <c r="M47" s="44">
        <v>-422.44499999999999</v>
      </c>
      <c r="N47" s="44">
        <v>-451.37400000000002</v>
      </c>
      <c r="O47" s="44">
        <v>-546.44000000000005</v>
      </c>
      <c r="P47" s="44">
        <v>-583.73800000000006</v>
      </c>
      <c r="Q47" s="44">
        <v>-577.45699999999999</v>
      </c>
      <c r="R47" s="44">
        <v>-580.452</v>
      </c>
    </row>
    <row r="48" spans="3:21" s="20" customFormat="1" ht="13.5" customHeight="1" x14ac:dyDescent="0.25">
      <c r="D48" s="13" t="s">
        <v>417</v>
      </c>
      <c r="E48" s="13"/>
      <c r="F48" s="13"/>
      <c r="G48" s="22" t="s">
        <v>142</v>
      </c>
      <c r="H48" s="23"/>
      <c r="I48" s="17">
        <f t="shared" ref="I48:R48" si="34">I46+I47</f>
        <v>-354.358</v>
      </c>
      <c r="J48" s="17">
        <f t="shared" si="34"/>
        <v>-422.69899999999996</v>
      </c>
      <c r="K48" s="17">
        <f t="shared" si="34"/>
        <v>-513.226</v>
      </c>
      <c r="L48" s="17">
        <f t="shared" si="34"/>
        <v>-629.07199999999989</v>
      </c>
      <c r="M48" s="17">
        <f t="shared" si="34"/>
        <v>-738.74199999999996</v>
      </c>
      <c r="N48" s="17">
        <f t="shared" si="34"/>
        <v>-773.37300000000005</v>
      </c>
      <c r="O48" s="17">
        <f t="shared" si="34"/>
        <v>-967.57900000000006</v>
      </c>
      <c r="P48" s="17">
        <f t="shared" si="34"/>
        <v>-1128.6869999999999</v>
      </c>
      <c r="Q48" s="17">
        <f t="shared" si="34"/>
        <v>-1128.52</v>
      </c>
      <c r="R48" s="17">
        <f t="shared" si="34"/>
        <v>-1207.893</v>
      </c>
      <c r="S48" s="7"/>
    </row>
    <row r="49" spans="3:21" s="7" customFormat="1" ht="8.85" customHeight="1" x14ac:dyDescent="0.25">
      <c r="G49" s="41"/>
    </row>
    <row r="50" spans="3:21" s="7" customFormat="1" ht="14.1" customHeight="1" x14ac:dyDescent="0.25">
      <c r="C50" s="47" t="s">
        <v>457</v>
      </c>
      <c r="G50" s="41"/>
    </row>
    <row r="51" spans="3:21" s="7" customFormat="1" ht="14.1" customHeight="1" x14ac:dyDescent="0.25">
      <c r="D51" s="33" t="s">
        <v>151</v>
      </c>
      <c r="E51" s="12"/>
      <c r="F51" s="12"/>
      <c r="G51" s="39"/>
      <c r="H51" s="12"/>
      <c r="I51" s="12"/>
      <c r="J51" s="12"/>
      <c r="K51" s="12"/>
      <c r="L51" s="12"/>
      <c r="M51" s="12"/>
      <c r="N51" s="12"/>
      <c r="O51" s="12"/>
      <c r="P51" s="12"/>
      <c r="Q51" s="12"/>
      <c r="R51" s="241"/>
    </row>
    <row r="52" spans="3:21" s="20" customFormat="1" ht="14.1" customHeight="1" x14ac:dyDescent="0.25">
      <c r="D52" s="13" t="s">
        <v>169</v>
      </c>
      <c r="E52" s="13"/>
      <c r="F52" s="13"/>
      <c r="G52" s="22" t="s">
        <v>142</v>
      </c>
      <c r="H52" s="23"/>
      <c r="I52" s="44">
        <v>0</v>
      </c>
      <c r="J52" s="44">
        <v>0</v>
      </c>
      <c r="K52" s="44">
        <v>2.1829999999999998</v>
      </c>
      <c r="L52" s="44">
        <v>16.167000000000002</v>
      </c>
      <c r="M52" s="44">
        <v>22.696000000000002</v>
      </c>
      <c r="N52" s="44">
        <v>60.183999999999997</v>
      </c>
      <c r="O52" s="44">
        <v>91.682000000000002</v>
      </c>
      <c r="P52" s="44">
        <v>82.91</v>
      </c>
      <c r="Q52" s="44">
        <v>92.403999999999996</v>
      </c>
      <c r="R52" s="44">
        <v>92.840999999999994</v>
      </c>
    </row>
    <row r="53" spans="3:21" s="20" customFormat="1" ht="14.1" customHeight="1" x14ac:dyDescent="0.25">
      <c r="D53" s="13" t="s">
        <v>15</v>
      </c>
      <c r="E53" s="13"/>
      <c r="F53" s="13"/>
      <c r="G53" s="22" t="s">
        <v>142</v>
      </c>
      <c r="H53" s="23"/>
      <c r="I53" s="44">
        <v>4.2999999999999997E-2</v>
      </c>
      <c r="J53" s="44">
        <v>0.371</v>
      </c>
      <c r="K53" s="44">
        <v>0.46400000000000002</v>
      </c>
      <c r="L53" s="44">
        <v>-2.3220000000000001</v>
      </c>
      <c r="M53" s="44">
        <v>2.0350000000000001</v>
      </c>
      <c r="N53" s="44">
        <v>-14.206</v>
      </c>
      <c r="O53" s="44">
        <v>-8.4480000000000004</v>
      </c>
      <c r="P53" s="44">
        <v>2.4239999999999999</v>
      </c>
      <c r="Q53" s="44">
        <v>6.3090000000000002</v>
      </c>
      <c r="R53" s="44">
        <v>19.594000000000001</v>
      </c>
    </row>
    <row r="54" spans="3:21" s="7" customFormat="1" ht="14.1" customHeight="1" x14ac:dyDescent="0.25">
      <c r="D54" s="13" t="s">
        <v>156</v>
      </c>
      <c r="E54" s="13"/>
      <c r="F54" s="13"/>
      <c r="G54" s="22" t="s">
        <v>142</v>
      </c>
      <c r="H54" s="13"/>
      <c r="I54" s="44">
        <v>0</v>
      </c>
      <c r="J54" s="44">
        <v>0</v>
      </c>
      <c r="K54" s="44">
        <v>0</v>
      </c>
      <c r="L54" s="44">
        <v>-8.6</v>
      </c>
      <c r="M54" s="44">
        <v>-8.3000000000000007</v>
      </c>
      <c r="N54" s="44">
        <v>-7.8</v>
      </c>
      <c r="O54" s="44">
        <v>-9.8000000000000007</v>
      </c>
      <c r="P54" s="44">
        <v>-8.8000000000000007</v>
      </c>
      <c r="Q54" s="44">
        <v>-17.3</v>
      </c>
      <c r="R54" s="44">
        <v>-16.7</v>
      </c>
    </row>
    <row r="55" spans="3:21" s="20" customFormat="1" ht="14.1" customHeight="1" x14ac:dyDescent="0.25">
      <c r="D55" s="13" t="s">
        <v>419</v>
      </c>
      <c r="E55" s="13"/>
      <c r="F55" s="13"/>
      <c r="G55" s="22" t="s">
        <v>142</v>
      </c>
      <c r="H55" s="23"/>
      <c r="I55" s="17">
        <f t="shared" ref="I55:K55" si="35">I53+I54</f>
        <v>4.2999999999999997E-2</v>
      </c>
      <c r="J55" s="17">
        <f t="shared" si="35"/>
        <v>0.371</v>
      </c>
      <c r="K55" s="17">
        <f t="shared" si="35"/>
        <v>0.46400000000000002</v>
      </c>
      <c r="L55" s="17">
        <f t="shared" ref="L55:R55" si="36">L53+L54</f>
        <v>-10.922000000000001</v>
      </c>
      <c r="M55" s="17">
        <f t="shared" si="36"/>
        <v>-6.2650000000000006</v>
      </c>
      <c r="N55" s="17">
        <f t="shared" si="36"/>
        <v>-22.006</v>
      </c>
      <c r="O55" s="17">
        <f t="shared" si="36"/>
        <v>-18.248000000000001</v>
      </c>
      <c r="P55" s="17">
        <f t="shared" si="36"/>
        <v>-6.3760000000000012</v>
      </c>
      <c r="Q55" s="17">
        <f t="shared" si="36"/>
        <v>-10.991</v>
      </c>
      <c r="R55" s="17">
        <f t="shared" si="36"/>
        <v>2.8940000000000019</v>
      </c>
      <c r="S55" s="7"/>
    </row>
    <row r="56" spans="3:21" s="7" customFormat="1" ht="14.1" customHeight="1" x14ac:dyDescent="0.25">
      <c r="G56" s="41"/>
      <c r="P56" s="243"/>
      <c r="R56" s="243"/>
    </row>
    <row r="57" spans="3:21" s="7" customFormat="1" ht="14.1" customHeight="1" x14ac:dyDescent="0.25">
      <c r="C57" s="47" t="s">
        <v>9</v>
      </c>
      <c r="D57" s="47"/>
      <c r="G57" s="41"/>
      <c r="H57" s="51"/>
      <c r="I57" s="51"/>
      <c r="J57" s="51"/>
      <c r="K57" s="51"/>
      <c r="L57" s="51"/>
      <c r="M57" s="51"/>
      <c r="N57" s="51"/>
      <c r="O57" s="51"/>
      <c r="P57" s="51"/>
      <c r="Q57" s="51"/>
      <c r="R57" s="51"/>
    </row>
    <row r="58" spans="3:21" s="7" customFormat="1" ht="14.1" customHeight="1" x14ac:dyDescent="0.25">
      <c r="D58" s="33" t="s">
        <v>284</v>
      </c>
      <c r="E58" s="12"/>
      <c r="F58" s="12"/>
      <c r="G58" s="39"/>
      <c r="H58" s="12"/>
      <c r="I58" s="12"/>
      <c r="J58" s="12"/>
      <c r="K58" s="12"/>
      <c r="L58" s="12"/>
      <c r="M58" s="12"/>
      <c r="N58" s="12"/>
      <c r="O58" s="12"/>
      <c r="P58" s="12"/>
      <c r="Q58" s="12"/>
      <c r="R58" s="12"/>
    </row>
    <row r="59" spans="3:21" s="20" customFormat="1" ht="14.1" customHeight="1" x14ac:dyDescent="0.25">
      <c r="D59" s="13" t="s">
        <v>197</v>
      </c>
      <c r="E59" s="13"/>
      <c r="F59" s="13"/>
      <c r="G59" s="22" t="s">
        <v>142</v>
      </c>
      <c r="H59" s="17">
        <f t="shared" ref="H59:R59" si="37">+H28+H45+H52</f>
        <v>884.1</v>
      </c>
      <c r="I59" s="17">
        <f t="shared" si="37"/>
        <v>1011.8199999999999</v>
      </c>
      <c r="J59" s="17">
        <f t="shared" si="37"/>
        <v>1184.49</v>
      </c>
      <c r="K59" s="17">
        <f t="shared" si="37"/>
        <v>1372.183</v>
      </c>
      <c r="L59" s="17">
        <f t="shared" si="37"/>
        <v>1612.5259999999998</v>
      </c>
      <c r="M59" s="17">
        <f t="shared" si="37"/>
        <v>1900.7299999999998</v>
      </c>
      <c r="N59" s="17">
        <f t="shared" si="37"/>
        <v>2138.9030000000002</v>
      </c>
      <c r="O59" s="17">
        <f t="shared" si="37"/>
        <v>2508.8469999999998</v>
      </c>
      <c r="P59" s="17">
        <f t="shared" si="37"/>
        <v>2827.0219999999999</v>
      </c>
      <c r="Q59" s="17">
        <f t="shared" si="37"/>
        <v>3089.971</v>
      </c>
      <c r="R59" s="17">
        <f t="shared" si="37"/>
        <v>3408.018</v>
      </c>
      <c r="T59" s="180"/>
      <c r="U59" s="180"/>
    </row>
    <row r="60" spans="3:21" s="7" customFormat="1" ht="14.1" customHeight="1" x14ac:dyDescent="0.25">
      <c r="D60" s="34" t="s">
        <v>146</v>
      </c>
      <c r="E60" s="19"/>
      <c r="F60" s="19"/>
      <c r="G60" s="101" t="s">
        <v>144</v>
      </c>
      <c r="H60" s="13"/>
      <c r="I60" s="52">
        <f>+IFERROR(I59/H59-1,"n.a.")</f>
        <v>0.14446329600723895</v>
      </c>
      <c r="J60" s="52">
        <f t="shared" ref="J60" si="38">+IFERROR(J59/I59-1,"n.a.")</f>
        <v>0.17065288292384029</v>
      </c>
      <c r="K60" s="52">
        <f t="shared" ref="K60" si="39">+IFERROR(K59/J59-1,"n.a.")</f>
        <v>0.15845891480721663</v>
      </c>
      <c r="L60" s="52">
        <f t="shared" ref="L60" si="40">+IFERROR(L59/K59-1,"n.a.")</f>
        <v>0.17515375135823708</v>
      </c>
      <c r="M60" s="52">
        <f t="shared" ref="M60" si="41">+IFERROR(M59/L59-1,"n.a.")</f>
        <v>0.17872828097035343</v>
      </c>
      <c r="N60" s="52">
        <f t="shared" ref="N60" si="42">+IFERROR(N59/M59-1,"n.a.")</f>
        <v>0.12530606661651067</v>
      </c>
      <c r="O60" s="52">
        <f>+IFERROR(O59/N59-1,"n.a.")</f>
        <v>0.17295969008412237</v>
      </c>
      <c r="P60" s="52">
        <f t="shared" ref="P60" si="43">+IFERROR(P59/O59-1,"n.a.")</f>
        <v>0.12682120511932382</v>
      </c>
      <c r="Q60" s="52">
        <f t="shared" ref="Q60:R60" si="44">+IFERROR(Q59/P59-1,"n.a.")</f>
        <v>9.3012717976726167E-2</v>
      </c>
      <c r="R60" s="52">
        <f t="shared" si="44"/>
        <v>0.1029287977136355</v>
      </c>
    </row>
    <row r="61" spans="3:21" s="20" customFormat="1" ht="14.1" customHeight="1" x14ac:dyDescent="0.25">
      <c r="D61" s="13" t="s">
        <v>1</v>
      </c>
      <c r="E61" s="13"/>
      <c r="F61" s="13"/>
      <c r="G61" s="22" t="s">
        <v>142</v>
      </c>
      <c r="H61" s="17">
        <f t="shared" ref="H61:R61" si="45">+H30+H46+H53</f>
        <v>303.76900000000001</v>
      </c>
      <c r="I61" s="17">
        <f t="shared" si="45"/>
        <v>360.88499999999999</v>
      </c>
      <c r="J61" s="17">
        <f t="shared" si="45"/>
        <v>452.85599999999999</v>
      </c>
      <c r="K61" s="17">
        <f t="shared" si="45"/>
        <v>557.55400000000009</v>
      </c>
      <c r="L61" s="17">
        <f t="shared" si="45"/>
        <v>610.61399999999992</v>
      </c>
      <c r="M61" s="17">
        <f t="shared" si="45"/>
        <v>761.0859999999999</v>
      </c>
      <c r="N61" s="17">
        <f t="shared" si="45"/>
        <v>919.56899999999985</v>
      </c>
      <c r="O61" s="17">
        <f t="shared" si="45"/>
        <v>1047.836</v>
      </c>
      <c r="P61" s="17">
        <f t="shared" si="45"/>
        <v>1151.81</v>
      </c>
      <c r="Q61" s="17">
        <f t="shared" si="45"/>
        <v>1340.5559999999998</v>
      </c>
      <c r="R61" s="17">
        <f t="shared" si="45"/>
        <v>1534.0409999999999</v>
      </c>
      <c r="U61" s="180"/>
    </row>
    <row r="62" spans="3:21" s="7" customFormat="1" ht="14.1" customHeight="1" x14ac:dyDescent="0.25">
      <c r="D62" s="53" t="s">
        <v>175</v>
      </c>
      <c r="E62" s="13"/>
      <c r="F62" s="13"/>
      <c r="G62" s="22" t="s">
        <v>144</v>
      </c>
      <c r="H62" s="13"/>
      <c r="I62" s="52">
        <f t="shared" ref="I62:Q62" si="46">+IFERROR(I61/I59,"n.a.")</f>
        <v>0.35666917040580343</v>
      </c>
      <c r="J62" s="52">
        <f t="shared" si="46"/>
        <v>0.38232150545804522</v>
      </c>
      <c r="K62" s="52">
        <f t="shared" si="46"/>
        <v>0.4063262698925727</v>
      </c>
      <c r="L62" s="52">
        <f t="shared" si="46"/>
        <v>0.37866924316259087</v>
      </c>
      <c r="M62" s="52">
        <f t="shared" si="46"/>
        <v>0.40041773423895027</v>
      </c>
      <c r="N62" s="52">
        <f t="shared" si="46"/>
        <v>0.42992552724457339</v>
      </c>
      <c r="O62" s="52">
        <f t="shared" si="46"/>
        <v>0.41765639754038414</v>
      </c>
      <c r="P62" s="52">
        <f t="shared" si="46"/>
        <v>0.40742873596314427</v>
      </c>
      <c r="Q62" s="52">
        <f t="shared" si="46"/>
        <v>0.43384096485047913</v>
      </c>
      <c r="R62" s="52">
        <f t="shared" ref="R62" si="47">+IFERROR(R61/R59,"n.a.")</f>
        <v>0.45012702397698601</v>
      </c>
    </row>
    <row r="63" spans="3:21" s="7" customFormat="1" ht="14.1" customHeight="1" x14ac:dyDescent="0.25">
      <c r="D63" s="76" t="s">
        <v>239</v>
      </c>
      <c r="E63" s="13"/>
      <c r="F63" s="13"/>
      <c r="G63" s="22" t="s">
        <v>142</v>
      </c>
      <c r="H63" s="23"/>
      <c r="I63" s="60">
        <f t="shared" ref="I63:R63" si="48">I65-I61</f>
        <v>-147.58900000000006</v>
      </c>
      <c r="J63" s="60">
        <f t="shared" si="48"/>
        <v>-176.55600000000004</v>
      </c>
      <c r="K63" s="60">
        <f t="shared" si="48"/>
        <v>-195.35399999999998</v>
      </c>
      <c r="L63" s="60">
        <f t="shared" si="48"/>
        <v>-240.41399999999987</v>
      </c>
      <c r="M63" s="60">
        <f t="shared" si="48"/>
        <v>-312.28599999999977</v>
      </c>
      <c r="N63" s="60">
        <f t="shared" si="48"/>
        <v>-369.86899999999969</v>
      </c>
      <c r="O63" s="60">
        <f t="shared" si="48"/>
        <v>-475.59350551302373</v>
      </c>
      <c r="P63" s="60">
        <f t="shared" si="48"/>
        <v>-574.97538317628823</v>
      </c>
      <c r="Q63" s="60">
        <f t="shared" si="48"/>
        <v>-646.58538133526588</v>
      </c>
      <c r="R63" s="60">
        <f t="shared" si="48"/>
        <v>-714.97111820260989</v>
      </c>
    </row>
    <row r="64" spans="3:21" s="7" customFormat="1" ht="14.1" customHeight="1" x14ac:dyDescent="0.25">
      <c r="D64" s="204" t="s">
        <v>158</v>
      </c>
      <c r="E64" s="13"/>
      <c r="F64" s="13"/>
      <c r="G64" s="22" t="s">
        <v>144</v>
      </c>
      <c r="H64" s="13"/>
      <c r="I64" s="35">
        <f t="shared" ref="I64:N64" si="49">+IFERROR(-I63/I59,"n.a.")</f>
        <v>0.14586487715206267</v>
      </c>
      <c r="J64" s="35">
        <f t="shared" si="49"/>
        <v>0.14905655598612064</v>
      </c>
      <c r="K64" s="35">
        <f t="shared" si="49"/>
        <v>0.14236730815058923</v>
      </c>
      <c r="L64" s="35">
        <f t="shared" si="49"/>
        <v>0.14909154953160439</v>
      </c>
      <c r="M64" s="35">
        <f t="shared" si="49"/>
        <v>0.16429792763832832</v>
      </c>
      <c r="N64" s="35">
        <f t="shared" si="49"/>
        <v>0.17292462538039344</v>
      </c>
      <c r="O64" s="35">
        <f>+IFERROR(-O63/O59,"n.a.")</f>
        <v>0.1895665640483552</v>
      </c>
      <c r="P64" s="35">
        <f>+IFERROR(-P63/P59,"n.a.")</f>
        <v>0.20338553544199098</v>
      </c>
      <c r="Q64" s="35">
        <f>+IFERROR(-Q63/Q59,"n.a.")</f>
        <v>0.20925289633309371</v>
      </c>
      <c r="R64" s="35">
        <f>+IFERROR(-R63/R59,"n.a.")</f>
        <v>0.20979088672730306</v>
      </c>
    </row>
    <row r="65" spans="4:21" s="20" customFormat="1" ht="14.1" customHeight="1" x14ac:dyDescent="0.25">
      <c r="D65" s="76" t="s">
        <v>247</v>
      </c>
      <c r="E65" s="13"/>
      <c r="F65" s="13"/>
      <c r="G65" s="22" t="s">
        <v>142</v>
      </c>
      <c r="H65" s="23"/>
      <c r="I65" s="270">
        <f>+'Annual IS'!D33</f>
        <v>213.29599999999994</v>
      </c>
      <c r="J65" s="270">
        <f>+'Annual IS'!E33</f>
        <v>276.29999999999995</v>
      </c>
      <c r="K65" s="270">
        <f>+'Annual IS'!F33</f>
        <v>362.2000000000001</v>
      </c>
      <c r="L65" s="270">
        <f>+'Annual IS'!G33</f>
        <v>370.20000000000005</v>
      </c>
      <c r="M65" s="270">
        <f>+'Annual IS'!H33</f>
        <v>448.80000000000013</v>
      </c>
      <c r="N65" s="270">
        <f>+'Annual IS'!I33</f>
        <v>549.70000000000016</v>
      </c>
      <c r="O65" s="270">
        <f>+'Annual IS'!J33</f>
        <v>572.24249448697628</v>
      </c>
      <c r="P65" s="270">
        <f>+'Annual IS'!K33</f>
        <v>576.83461682371171</v>
      </c>
      <c r="Q65" s="270">
        <f>+'Annual IS'!L33</f>
        <v>693.97061866473393</v>
      </c>
      <c r="R65" s="270">
        <f>+'Annual IS'!M33</f>
        <v>819.06988179739005</v>
      </c>
      <c r="U65" s="180"/>
    </row>
    <row r="66" spans="4:21" s="7" customFormat="1" ht="14.1" customHeight="1" x14ac:dyDescent="0.25">
      <c r="D66" s="53" t="s">
        <v>248</v>
      </c>
      <c r="E66" s="13"/>
      <c r="F66" s="13"/>
      <c r="G66" s="22" t="s">
        <v>144</v>
      </c>
      <c r="H66" s="13"/>
      <c r="I66" s="52">
        <f t="shared" ref="I66:R66" si="50">+IFERROR(I65/I59,"n.a.")</f>
        <v>0.21080429325374073</v>
      </c>
      <c r="J66" s="52">
        <f t="shared" si="50"/>
        <v>0.23326494947192458</v>
      </c>
      <c r="K66" s="52">
        <f t="shared" si="50"/>
        <v>0.26395896174198347</v>
      </c>
      <c r="L66" s="52">
        <f t="shared" si="50"/>
        <v>0.22957769363098646</v>
      </c>
      <c r="M66" s="52">
        <f t="shared" si="50"/>
        <v>0.23611980660062196</v>
      </c>
      <c r="N66" s="52">
        <f t="shared" si="50"/>
        <v>0.25700090186417995</v>
      </c>
      <c r="O66" s="52">
        <f t="shared" si="50"/>
        <v>0.22808983349202894</v>
      </c>
      <c r="P66" s="52">
        <f t="shared" si="50"/>
        <v>0.20404320052115327</v>
      </c>
      <c r="Q66" s="52">
        <f t="shared" si="50"/>
        <v>0.22458806851738541</v>
      </c>
      <c r="R66" s="52">
        <f t="shared" si="50"/>
        <v>0.24033613724968297</v>
      </c>
    </row>
    <row r="67" spans="4:21" s="20" customFormat="1" ht="14.1" customHeight="1" x14ac:dyDescent="0.25">
      <c r="D67" s="76" t="s">
        <v>391</v>
      </c>
      <c r="E67" s="13"/>
      <c r="F67" s="13"/>
      <c r="G67" s="22" t="s">
        <v>142</v>
      </c>
      <c r="H67" s="23"/>
      <c r="I67" s="270">
        <f>+I65+SUM('Annual IS'!D16:D17,'Annual IS'!D19)-I122</f>
        <v>-146.60400000000004</v>
      </c>
      <c r="J67" s="270">
        <f>+J65+SUM('Annual IS'!E16:E17,'Annual IS'!E19)-J122</f>
        <v>120.80099999999996</v>
      </c>
      <c r="K67" s="270">
        <f>+K65+SUM('Annual IS'!F16:F17,'Annual IS'!F19)-K122</f>
        <v>197.54600000000011</v>
      </c>
      <c r="L67" s="270">
        <f>+L65+SUM('Annual IS'!G16:G17,'Annual IS'!G19)-L122</f>
        <v>157.10800000000006</v>
      </c>
      <c r="M67" s="270">
        <f>+M65+SUM('Annual IS'!H16:H17,'Annual IS'!H19)-M122</f>
        <v>194.56000000000012</v>
      </c>
      <c r="N67" s="270">
        <f>+N65+SUM('Annual IS'!I16:I17,'Annual IS'!I19)-N122</f>
        <v>269.68700000000018</v>
      </c>
      <c r="O67" s="270">
        <f>+O65+SUM('Annual IS'!J16:J17,'Annual IS'!J19)-O122</f>
        <v>281.25077444267305</v>
      </c>
      <c r="P67" s="270">
        <f>+P65+SUM('Annual IS'!K16:K17,'Annual IS'!K19)-P122</f>
        <v>219.86001181136893</v>
      </c>
      <c r="Q67" s="270">
        <f>+Q65+SUM('Annual IS'!L16:L17,'Annual IS'!L19)-Q122</f>
        <v>285.83585803224071</v>
      </c>
      <c r="R67" s="270">
        <f>+R65+SUM('Annual IS'!M16:M17,'Annual IS'!M19)-R122</f>
        <v>360.5663634272824</v>
      </c>
      <c r="U67" s="180"/>
    </row>
    <row r="68" spans="4:21" s="7" customFormat="1" ht="14.1" customHeight="1" x14ac:dyDescent="0.25">
      <c r="D68" s="53" t="s">
        <v>416</v>
      </c>
      <c r="E68" s="13"/>
      <c r="F68" s="13"/>
      <c r="G68" s="22" t="s">
        <v>144</v>
      </c>
      <c r="H68" s="13"/>
      <c r="I68" s="52">
        <f>+IFERROR(I67/I59,"n.a.")</f>
        <v>-0.14489138384297606</v>
      </c>
      <c r="J68" s="52">
        <f t="shared" ref="J68:R68" si="51">+IFERROR(J67/J59,"n.a.")</f>
        <v>0.10198566471646021</v>
      </c>
      <c r="K68" s="52">
        <f t="shared" si="51"/>
        <v>0.14396476271750933</v>
      </c>
      <c r="L68" s="52">
        <f t="shared" si="51"/>
        <v>9.7429746869197809E-2</v>
      </c>
      <c r="M68" s="52">
        <f t="shared" si="51"/>
        <v>0.10236067195235522</v>
      </c>
      <c r="N68" s="52">
        <f t="shared" si="51"/>
        <v>0.1260865967273879</v>
      </c>
      <c r="O68" s="52">
        <f t="shared" si="51"/>
        <v>0.11210359756600266</v>
      </c>
      <c r="P68" s="52">
        <f t="shared" si="51"/>
        <v>7.7770888168315969E-2</v>
      </c>
      <c r="Q68" s="52">
        <f t="shared" si="51"/>
        <v>9.2504382090395257E-2</v>
      </c>
      <c r="R68" s="52">
        <f t="shared" si="51"/>
        <v>0.10579943046875996</v>
      </c>
    </row>
    <row r="69" spans="4:21" s="7" customFormat="1" ht="14.1" customHeight="1" x14ac:dyDescent="0.25">
      <c r="D69" s="33"/>
      <c r="E69" s="12"/>
      <c r="F69" s="12"/>
      <c r="G69" s="39"/>
      <c r="H69" s="12"/>
      <c r="I69" s="281"/>
      <c r="J69" s="281"/>
      <c r="K69" s="281"/>
      <c r="L69" s="282"/>
      <c r="M69" s="281"/>
      <c r="N69" s="281"/>
      <c r="O69" s="281"/>
      <c r="P69" s="281"/>
      <c r="Q69" s="281"/>
      <c r="R69" s="281"/>
    </row>
    <row r="70" spans="4:21" s="7" customFormat="1" ht="14.1" customHeight="1" x14ac:dyDescent="0.25">
      <c r="D70" s="33" t="s">
        <v>196</v>
      </c>
      <c r="E70" s="12"/>
      <c r="F70" s="12"/>
      <c r="G70" s="39"/>
      <c r="H70" s="12"/>
      <c r="I70" s="12"/>
      <c r="J70" s="12"/>
      <c r="K70" s="12"/>
      <c r="L70" s="12"/>
      <c r="M70" s="12"/>
      <c r="N70" s="12"/>
      <c r="O70" s="12"/>
      <c r="P70" s="12"/>
      <c r="Q70" s="12"/>
      <c r="R70" s="12"/>
    </row>
    <row r="71" spans="4:21" s="7" customFormat="1" ht="14.1" customHeight="1" x14ac:dyDescent="0.25">
      <c r="D71" s="13" t="s">
        <v>458</v>
      </c>
      <c r="E71" s="26"/>
      <c r="F71" s="13"/>
      <c r="G71" s="22" t="s">
        <v>142</v>
      </c>
      <c r="H71" s="44"/>
      <c r="I71" s="44">
        <v>2798.819</v>
      </c>
      <c r="J71" s="44">
        <v>2998.1529999999998</v>
      </c>
      <c r="K71" s="44">
        <v>4200.5150000000003</v>
      </c>
      <c r="L71" s="44">
        <v>4749.6819999999998</v>
      </c>
      <c r="M71" s="44">
        <v>4993.9269999999997</v>
      </c>
      <c r="N71" s="44">
        <v>4977.8440000000001</v>
      </c>
      <c r="O71" s="44">
        <v>7022.7</v>
      </c>
      <c r="P71" s="44">
        <v>7222.7</v>
      </c>
      <c r="Q71" s="44">
        <v>7245.3</v>
      </c>
      <c r="R71" s="44">
        <v>7396.8</v>
      </c>
    </row>
    <row r="72" spans="4:21" s="7" customFormat="1" ht="14.1" customHeight="1" x14ac:dyDescent="0.25">
      <c r="D72" s="13" t="s">
        <v>160</v>
      </c>
      <c r="E72" s="26"/>
      <c r="F72" s="13"/>
      <c r="G72" s="22" t="s">
        <v>142</v>
      </c>
      <c r="H72" s="13"/>
      <c r="I72" s="60">
        <f t="shared" ref="I72:P72" si="52">I73-I71</f>
        <v>0</v>
      </c>
      <c r="J72" s="60">
        <f t="shared" si="52"/>
        <v>0</v>
      </c>
      <c r="K72" s="60">
        <f t="shared" si="52"/>
        <v>0</v>
      </c>
      <c r="L72" s="60">
        <f t="shared" si="52"/>
        <v>0</v>
      </c>
      <c r="M72" s="60">
        <f t="shared" si="52"/>
        <v>132.38200000000052</v>
      </c>
      <c r="N72" s="60">
        <f t="shared" si="52"/>
        <v>130.30199999999968</v>
      </c>
      <c r="O72" s="60">
        <f t="shared" si="52"/>
        <v>149.19999999999982</v>
      </c>
      <c r="P72" s="60">
        <f t="shared" si="52"/>
        <v>160</v>
      </c>
      <c r="Q72" s="60">
        <f>Q73-Q71</f>
        <v>162.39999999999964</v>
      </c>
      <c r="R72" s="60">
        <f t="shared" ref="R72" si="53">R73-R71</f>
        <v>191</v>
      </c>
    </row>
    <row r="73" spans="4:21" s="7" customFormat="1" ht="14.1" customHeight="1" x14ac:dyDescent="0.25">
      <c r="D73" s="13" t="s">
        <v>459</v>
      </c>
      <c r="E73" s="26"/>
      <c r="F73" s="13"/>
      <c r="G73" s="22" t="s">
        <v>142</v>
      </c>
      <c r="H73" s="44"/>
      <c r="I73" s="44">
        <v>2798.819</v>
      </c>
      <c r="J73" s="44">
        <v>2998.1529999999998</v>
      </c>
      <c r="K73" s="44">
        <v>4200.5150000000003</v>
      </c>
      <c r="L73" s="44">
        <v>4749.6819999999998</v>
      </c>
      <c r="M73" s="44">
        <v>5126.3090000000002</v>
      </c>
      <c r="N73" s="44">
        <v>5108.1459999999997</v>
      </c>
      <c r="O73" s="44">
        <v>7171.9</v>
      </c>
      <c r="P73" s="44">
        <v>7382.7</v>
      </c>
      <c r="Q73" s="44">
        <v>7407.7</v>
      </c>
      <c r="R73" s="44">
        <v>7587.8</v>
      </c>
    </row>
    <row r="74" spans="4:21" s="7" customFormat="1" ht="14.1" customHeight="1" x14ac:dyDescent="0.25">
      <c r="D74" s="13" t="s">
        <v>460</v>
      </c>
      <c r="E74" s="26"/>
      <c r="F74" s="13"/>
      <c r="G74" s="22" t="s">
        <v>149</v>
      </c>
      <c r="H74" s="13"/>
      <c r="I74" s="31">
        <v>7</v>
      </c>
      <c r="J74" s="31">
        <v>6.2</v>
      </c>
      <c r="K74" s="31">
        <v>7.3</v>
      </c>
      <c r="L74" s="31">
        <v>7.2</v>
      </c>
      <c r="M74" s="31">
        <v>6.8</v>
      </c>
      <c r="N74" s="31">
        <v>5.3</v>
      </c>
      <c r="O74" s="31">
        <v>6.6</v>
      </c>
      <c r="P74" s="31">
        <v>6</v>
      </c>
      <c r="Q74" s="31">
        <v>5.3</v>
      </c>
      <c r="R74" s="31">
        <v>4.8</v>
      </c>
    </row>
    <row r="75" spans="4:21" ht="8.85" customHeight="1" x14ac:dyDescent="0.2"/>
    <row r="76" spans="4:21" s="7" customFormat="1" ht="14.1" customHeight="1" x14ac:dyDescent="0.25">
      <c r="D76" s="59" t="s">
        <v>159</v>
      </c>
      <c r="G76" s="41"/>
    </row>
    <row r="77" spans="4:21" s="7" customFormat="1" ht="14.1" customHeight="1" x14ac:dyDescent="0.25">
      <c r="D77" s="13" t="s">
        <v>11</v>
      </c>
      <c r="E77" s="13"/>
      <c r="F77" s="13"/>
      <c r="G77" s="22" t="s">
        <v>142</v>
      </c>
      <c r="H77" s="13"/>
      <c r="I77" s="17">
        <f t="shared" ref="I77:R77" si="54">I30</f>
        <v>521.77499999999998</v>
      </c>
      <c r="J77" s="17">
        <f t="shared" si="54"/>
        <v>629.846</v>
      </c>
      <c r="K77" s="17">
        <f t="shared" si="54"/>
        <v>759.90899999999999</v>
      </c>
      <c r="L77" s="17">
        <f t="shared" si="54"/>
        <v>890.70399999999995</v>
      </c>
      <c r="M77" s="17">
        <f t="shared" si="54"/>
        <v>1075.348</v>
      </c>
      <c r="N77" s="17">
        <f t="shared" si="54"/>
        <v>1255.7739999999999</v>
      </c>
      <c r="O77" s="17">
        <f t="shared" si="54"/>
        <v>1477.423</v>
      </c>
      <c r="P77" s="17">
        <f t="shared" si="54"/>
        <v>1694.335</v>
      </c>
      <c r="Q77" s="17">
        <f t="shared" si="54"/>
        <v>1885.31</v>
      </c>
      <c r="R77" s="17">
        <f t="shared" si="54"/>
        <v>2141.8879999999999</v>
      </c>
    </row>
    <row r="78" spans="4:21" s="7" customFormat="1" ht="14.1" customHeight="1" x14ac:dyDescent="0.25">
      <c r="D78" s="53" t="s">
        <v>162</v>
      </c>
      <c r="E78" s="13"/>
      <c r="F78" s="13"/>
      <c r="G78" s="22" t="s">
        <v>142</v>
      </c>
      <c r="H78" s="13"/>
      <c r="I78" s="17">
        <f t="shared" ref="I78:R78" si="55">-I80/I9*I10</f>
        <v>-148.37838107710363</v>
      </c>
      <c r="J78" s="17">
        <f t="shared" si="55"/>
        <v>-167.81056698231828</v>
      </c>
      <c r="K78" s="17">
        <f t="shared" si="55"/>
        <v>-179.02043588734713</v>
      </c>
      <c r="L78" s="17">
        <f t="shared" si="55"/>
        <v>-208.74433720695694</v>
      </c>
      <c r="M78" s="17">
        <f t="shared" si="55"/>
        <v>-236.08237669571304</v>
      </c>
      <c r="N78" s="17">
        <f t="shared" si="55"/>
        <v>-274.59300935337876</v>
      </c>
      <c r="O78" s="17">
        <f t="shared" si="55"/>
        <v>-325.25881533115989</v>
      </c>
      <c r="P78" s="17">
        <f t="shared" si="55"/>
        <v>-457.08771351630344</v>
      </c>
      <c r="Q78" s="17">
        <f t="shared" si="55"/>
        <v>-532.72617499799321</v>
      </c>
      <c r="R78" s="17">
        <f t="shared" si="55"/>
        <v>-576.93473376711529</v>
      </c>
    </row>
    <row r="79" spans="4:21" s="7" customFormat="1" ht="14.1" customHeight="1" x14ac:dyDescent="0.25">
      <c r="D79" s="53" t="s">
        <v>240</v>
      </c>
      <c r="E79" s="13"/>
      <c r="F79" s="13"/>
      <c r="G79" s="22" t="s">
        <v>142</v>
      </c>
      <c r="H79" s="13"/>
      <c r="I79" s="17">
        <f t="shared" ref="I79:P79" si="56">I80-I78</f>
        <v>-205.97961892289638</v>
      </c>
      <c r="J79" s="17">
        <f t="shared" si="56"/>
        <v>-254.88843301768168</v>
      </c>
      <c r="K79" s="17">
        <f t="shared" si="56"/>
        <v>-334.20556411265284</v>
      </c>
      <c r="L79" s="17">
        <f t="shared" si="56"/>
        <v>-420.32766279304292</v>
      </c>
      <c r="M79" s="17">
        <f t="shared" si="56"/>
        <v>-502.65962330428692</v>
      </c>
      <c r="N79" s="17">
        <f t="shared" si="56"/>
        <v>-498.77999064662129</v>
      </c>
      <c r="O79" s="17">
        <f t="shared" si="56"/>
        <v>-642.32018466884017</v>
      </c>
      <c r="P79" s="17">
        <f t="shared" si="56"/>
        <v>-671.59928648369646</v>
      </c>
      <c r="Q79" s="17">
        <f>Q80-Q78</f>
        <v>-595.79382500200677</v>
      </c>
      <c r="R79" s="17">
        <f>R80-R78</f>
        <v>-630.95826623288474</v>
      </c>
    </row>
    <row r="80" spans="4:21" s="7" customFormat="1" ht="14.1" customHeight="1" x14ac:dyDescent="0.25">
      <c r="D80" s="13" t="s">
        <v>417</v>
      </c>
      <c r="E80" s="13"/>
      <c r="F80" s="13"/>
      <c r="G80" s="22" t="s">
        <v>142</v>
      </c>
      <c r="H80" s="13"/>
      <c r="I80" s="17">
        <f t="shared" ref="I80:R80" si="57">I48</f>
        <v>-354.358</v>
      </c>
      <c r="J80" s="17">
        <f t="shared" si="57"/>
        <v>-422.69899999999996</v>
      </c>
      <c r="K80" s="17">
        <f t="shared" si="57"/>
        <v>-513.226</v>
      </c>
      <c r="L80" s="17">
        <f t="shared" si="57"/>
        <v>-629.07199999999989</v>
      </c>
      <c r="M80" s="17">
        <f t="shared" si="57"/>
        <v>-738.74199999999996</v>
      </c>
      <c r="N80" s="17">
        <f t="shared" si="57"/>
        <v>-773.37300000000005</v>
      </c>
      <c r="O80" s="17">
        <f t="shared" si="57"/>
        <v>-967.57900000000006</v>
      </c>
      <c r="P80" s="17">
        <f t="shared" si="57"/>
        <v>-1128.6869999999999</v>
      </c>
      <c r="Q80" s="17">
        <f t="shared" si="57"/>
        <v>-1128.52</v>
      </c>
      <c r="R80" s="17">
        <f t="shared" si="57"/>
        <v>-1207.893</v>
      </c>
    </row>
    <row r="81" spans="4:18" s="7" customFormat="1" ht="14.1" customHeight="1" x14ac:dyDescent="0.25">
      <c r="D81" s="66" t="s">
        <v>296</v>
      </c>
      <c r="E81" s="26"/>
      <c r="F81" s="13"/>
      <c r="G81" s="22" t="s">
        <v>142</v>
      </c>
      <c r="H81" s="13"/>
      <c r="I81" s="17">
        <f t="shared" ref="I81:R81" si="58">+I32</f>
        <v>-60.5</v>
      </c>
      <c r="J81" s="17">
        <f t="shared" si="58"/>
        <v>-75.7</v>
      </c>
      <c r="K81" s="17">
        <f t="shared" si="58"/>
        <v>-40.151000000000003</v>
      </c>
      <c r="L81" s="17">
        <f t="shared" si="58"/>
        <v>-47.5</v>
      </c>
      <c r="M81" s="17">
        <f t="shared" si="58"/>
        <v>-52</v>
      </c>
      <c r="N81" s="17">
        <f t="shared" si="58"/>
        <v>-51.5</v>
      </c>
      <c r="O81" s="17">
        <f t="shared" si="58"/>
        <v>-68.7</v>
      </c>
      <c r="P81" s="17">
        <f t="shared" si="58"/>
        <v>-94.1</v>
      </c>
      <c r="Q81" s="17">
        <f t="shared" si="58"/>
        <v>-117.8</v>
      </c>
      <c r="R81" s="17">
        <f t="shared" si="58"/>
        <v>-155.1</v>
      </c>
    </row>
    <row r="82" spans="4:18" s="7" customFormat="1" ht="14.1" customHeight="1" x14ac:dyDescent="0.25">
      <c r="D82" s="66" t="s">
        <v>15</v>
      </c>
      <c r="E82" s="26"/>
      <c r="F82" s="13"/>
      <c r="G82" s="22" t="s">
        <v>142</v>
      </c>
      <c r="H82" s="13"/>
      <c r="I82" s="17">
        <f t="shared" ref="I82:R82" si="59">+I53</f>
        <v>4.2999999999999997E-2</v>
      </c>
      <c r="J82" s="17">
        <f t="shared" si="59"/>
        <v>0.371</v>
      </c>
      <c r="K82" s="17">
        <f t="shared" si="59"/>
        <v>0.46400000000000002</v>
      </c>
      <c r="L82" s="17">
        <f t="shared" si="59"/>
        <v>-2.3220000000000001</v>
      </c>
      <c r="M82" s="17">
        <f t="shared" si="59"/>
        <v>2.0350000000000001</v>
      </c>
      <c r="N82" s="17">
        <f t="shared" si="59"/>
        <v>-14.206</v>
      </c>
      <c r="O82" s="17">
        <f t="shared" si="59"/>
        <v>-8.4480000000000004</v>
      </c>
      <c r="P82" s="17">
        <f t="shared" si="59"/>
        <v>2.4239999999999999</v>
      </c>
      <c r="Q82" s="17">
        <f t="shared" si="59"/>
        <v>6.3090000000000002</v>
      </c>
      <c r="R82" s="17">
        <f t="shared" si="59"/>
        <v>19.594000000000001</v>
      </c>
    </row>
    <row r="83" spans="4:18" s="7" customFormat="1" ht="14.1" customHeight="1" x14ac:dyDescent="0.25">
      <c r="D83" s="66" t="s">
        <v>156</v>
      </c>
      <c r="E83" s="26"/>
      <c r="F83" s="13"/>
      <c r="G83" s="22" t="s">
        <v>142</v>
      </c>
      <c r="H83" s="13"/>
      <c r="I83" s="17">
        <f t="shared" ref="I83:R83" si="60">+I54</f>
        <v>0</v>
      </c>
      <c r="J83" s="17">
        <f t="shared" si="60"/>
        <v>0</v>
      </c>
      <c r="K83" s="17">
        <f t="shared" si="60"/>
        <v>0</v>
      </c>
      <c r="L83" s="17">
        <f t="shared" si="60"/>
        <v>-8.6</v>
      </c>
      <c r="M83" s="17">
        <f t="shared" si="60"/>
        <v>-8.3000000000000007</v>
      </c>
      <c r="N83" s="17">
        <f t="shared" si="60"/>
        <v>-7.8</v>
      </c>
      <c r="O83" s="17">
        <f t="shared" si="60"/>
        <v>-9.8000000000000007</v>
      </c>
      <c r="P83" s="17">
        <f t="shared" si="60"/>
        <v>-8.8000000000000007</v>
      </c>
      <c r="Q83" s="17">
        <f t="shared" si="60"/>
        <v>-17.3</v>
      </c>
      <c r="R83" s="17">
        <f t="shared" si="60"/>
        <v>-16.7</v>
      </c>
    </row>
    <row r="84" spans="4:18" s="7" customFormat="1" ht="14.1" customHeight="1" x14ac:dyDescent="0.25">
      <c r="D84" s="66" t="s">
        <v>298</v>
      </c>
      <c r="E84" s="26"/>
      <c r="F84" s="13"/>
      <c r="G84" s="22" t="s">
        <v>142</v>
      </c>
      <c r="H84" s="13"/>
      <c r="I84" s="44">
        <v>0</v>
      </c>
      <c r="J84" s="44">
        <v>0</v>
      </c>
      <c r="K84" s="44">
        <v>-78.784000000000006</v>
      </c>
      <c r="L84" s="44">
        <v>-92.7</v>
      </c>
      <c r="M84" s="44">
        <v>-110.2</v>
      </c>
      <c r="N84" s="44">
        <v>-124.2</v>
      </c>
      <c r="O84" s="44">
        <v>-137.6</v>
      </c>
      <c r="P84" s="44">
        <v>-154.4</v>
      </c>
      <c r="Q84" s="44">
        <v>-155.9</v>
      </c>
      <c r="R84" s="44">
        <v>-167.6</v>
      </c>
    </row>
    <row r="85" spans="4:18" s="7" customFormat="1" ht="14.1" customHeight="1" x14ac:dyDescent="0.25">
      <c r="D85" s="66" t="s">
        <v>461</v>
      </c>
      <c r="E85" s="26"/>
      <c r="F85" s="13"/>
      <c r="G85" s="22" t="s">
        <v>142</v>
      </c>
      <c r="H85" s="13"/>
      <c r="I85" s="44">
        <v>0</v>
      </c>
      <c r="J85" s="44">
        <v>0</v>
      </c>
      <c r="K85" s="44">
        <v>0</v>
      </c>
      <c r="L85" s="44">
        <v>0</v>
      </c>
      <c r="M85" s="44">
        <v>-34.588999999999999</v>
      </c>
      <c r="N85" s="44">
        <v>-42.078000000000003</v>
      </c>
      <c r="O85" s="44">
        <v>-45.975999999999999</v>
      </c>
      <c r="P85" s="44">
        <v>-49.154000000000003</v>
      </c>
      <c r="Q85" s="44">
        <v>-54.421999999999997</v>
      </c>
      <c r="R85" s="44">
        <v>-60.95</v>
      </c>
    </row>
    <row r="86" spans="4:18" s="7" customFormat="1" ht="14.1" customHeight="1" thickBot="1" x14ac:dyDescent="0.3">
      <c r="D86" s="28" t="s">
        <v>462</v>
      </c>
      <c r="E86" s="79"/>
      <c r="F86" s="28"/>
      <c r="G86" s="58" t="s">
        <v>142</v>
      </c>
      <c r="H86" s="28"/>
      <c r="I86" s="272">
        <f>+'Annual CF'!D20/1000</f>
        <v>9.5440000000000005</v>
      </c>
      <c r="J86" s="272">
        <f>+'Annual CF'!E20/1000</f>
        <v>32.238999999999997</v>
      </c>
      <c r="K86" s="272">
        <f>+'Annual CF'!F20/1000</f>
        <v>34.073999999999998</v>
      </c>
      <c r="L86" s="272">
        <f>+'Annual CF'!G20/1000</f>
        <v>14.39</v>
      </c>
      <c r="M86" s="272">
        <f>+'Annual CF'!H20/1000</f>
        <v>46.905999999999999</v>
      </c>
      <c r="N86" s="272">
        <f>+'Annual CF'!I20/1000</f>
        <v>67.135508416164527</v>
      </c>
      <c r="O86" s="272">
        <f>+'Annual CF'!J20/1000</f>
        <v>-244.43722727473465</v>
      </c>
      <c r="P86" s="272">
        <f>+'Annual CF'!K20/1000</f>
        <v>-138.44467315487506</v>
      </c>
      <c r="Q86" s="272">
        <f>+'Annual CF'!L20/1000</f>
        <v>86.31243220747335</v>
      </c>
      <c r="R86" s="272">
        <f>+'Annual CF'!M20/1000</f>
        <v>-58.89787658454501</v>
      </c>
    </row>
    <row r="87" spans="4:18" s="7" customFormat="1" ht="14.1" customHeight="1" thickBot="1" x14ac:dyDescent="0.3">
      <c r="D87" s="88" t="s">
        <v>179</v>
      </c>
      <c r="E87" s="93"/>
      <c r="F87" s="90"/>
      <c r="G87" s="91" t="s">
        <v>142</v>
      </c>
      <c r="H87" s="90"/>
      <c r="I87" s="92">
        <f t="shared" ref="I87:Q87" si="61">I77+I80+I81+I82+I83+I84+I86+I85</f>
        <v>116.50399999999998</v>
      </c>
      <c r="J87" s="92">
        <f t="shared" si="61"/>
        <v>164.05700000000007</v>
      </c>
      <c r="K87" s="92">
        <f t="shared" si="61"/>
        <v>162.286</v>
      </c>
      <c r="L87" s="92">
        <f t="shared" si="61"/>
        <v>124.90000000000006</v>
      </c>
      <c r="M87" s="92">
        <f t="shared" si="61"/>
        <v>180.45800000000003</v>
      </c>
      <c r="N87" s="92">
        <f t="shared" si="61"/>
        <v>309.75250841616435</v>
      </c>
      <c r="O87" s="92">
        <f t="shared" si="61"/>
        <v>-5.1172272747347165</v>
      </c>
      <c r="P87" s="92">
        <f t="shared" si="61"/>
        <v>123.17332684512499</v>
      </c>
      <c r="Q87" s="92">
        <f t="shared" si="61"/>
        <v>503.98943220747333</v>
      </c>
      <c r="R87" s="92">
        <f t="shared" ref="R87" si="62">R77+R80+R81+R82+R83+R84+R86+R85</f>
        <v>494.34112341545489</v>
      </c>
    </row>
    <row r="88" spans="4:18" s="7" customFormat="1" ht="14.1" customHeight="1" thickBot="1" x14ac:dyDescent="0.3">
      <c r="D88" s="7" t="s">
        <v>105</v>
      </c>
      <c r="E88" s="24"/>
      <c r="G88" s="41" t="s">
        <v>142</v>
      </c>
      <c r="I88" s="273">
        <f>+'Annual CF'!D11/1000</f>
        <v>-32.012999999999998</v>
      </c>
      <c r="J88" s="273">
        <f>+'Annual CF'!E11/1000</f>
        <v>-25.641999999999999</v>
      </c>
      <c r="K88" s="273">
        <f>+'Annual CF'!F11/1000</f>
        <v>-36.662999999999997</v>
      </c>
      <c r="L88" s="273">
        <f>+'Annual CF'!G11/1000</f>
        <v>-40.255000000000003</v>
      </c>
      <c r="M88" s="273">
        <f>+'Annual CF'!H11/1000</f>
        <v>-48.558</v>
      </c>
      <c r="N88" s="273">
        <f>+'Annual CF'!I11/1000</f>
        <v>-33.676000000000002</v>
      </c>
      <c r="O88" s="273">
        <f>+'Annual CF'!J11/1000</f>
        <v>-61.589113640128112</v>
      </c>
      <c r="P88" s="273">
        <f>+'Annual CF'!K11/1000</f>
        <v>-77.132999999999996</v>
      </c>
      <c r="Q88" s="273">
        <f>+'Annual CF'!L11/1000</f>
        <v>-91.239000000000004</v>
      </c>
      <c r="R88" s="273">
        <f>+'Annual CF'!M11/1000</f>
        <v>-114.63500000000001</v>
      </c>
    </row>
    <row r="89" spans="4:18" s="7" customFormat="1" ht="14.1" customHeight="1" thickBot="1" x14ac:dyDescent="0.3">
      <c r="D89" s="88" t="s">
        <v>180</v>
      </c>
      <c r="E89" s="93"/>
      <c r="F89" s="90"/>
      <c r="G89" s="91" t="s">
        <v>142</v>
      </c>
      <c r="H89" s="90"/>
      <c r="I89" s="92">
        <f>+SUM(I87:I88)</f>
        <v>84.490999999999985</v>
      </c>
      <c r="J89" s="92">
        <f>+SUM(J87:J88)</f>
        <v>138.41500000000008</v>
      </c>
      <c r="K89" s="92">
        <f t="shared" ref="K89:Q89" si="63">+SUM(K87:K88)</f>
        <v>125.623</v>
      </c>
      <c r="L89" s="92">
        <f t="shared" si="63"/>
        <v>84.645000000000067</v>
      </c>
      <c r="M89" s="92">
        <f t="shared" si="63"/>
        <v>131.90000000000003</v>
      </c>
      <c r="N89" s="92">
        <f t="shared" si="63"/>
        <v>276.07650841616436</v>
      </c>
      <c r="O89" s="92">
        <f t="shared" si="63"/>
        <v>-66.706340914862835</v>
      </c>
      <c r="P89" s="92">
        <f t="shared" si="63"/>
        <v>46.040326845124994</v>
      </c>
      <c r="Q89" s="92">
        <f t="shared" si="63"/>
        <v>412.7504322074733</v>
      </c>
      <c r="R89" s="92">
        <f t="shared" ref="R89" si="64">+SUM(R87:R88)</f>
        <v>379.7061234154549</v>
      </c>
    </row>
    <row r="90" spans="4:18" s="7" customFormat="1" ht="14.1" customHeight="1" x14ac:dyDescent="0.25">
      <c r="D90" s="12" t="s">
        <v>192</v>
      </c>
      <c r="E90" s="108"/>
      <c r="F90" s="12"/>
      <c r="G90" s="39" t="s">
        <v>142</v>
      </c>
      <c r="H90" s="12"/>
      <c r="I90" s="274">
        <f>('Annual CF'!D39)/10^3</f>
        <v>-150.786</v>
      </c>
      <c r="J90" s="274">
        <f>('Annual CF'!E39)/10^3</f>
        <v>-155.244</v>
      </c>
      <c r="K90" s="274">
        <f>('Annual CF'!F39)/10^3</f>
        <v>-181.41900000000001</v>
      </c>
      <c r="L90" s="274">
        <f>('Annual CF'!G39)/10^3</f>
        <v>-194.21199999999999</v>
      </c>
      <c r="M90" s="274">
        <f>('Annual CF'!H39)/10^3</f>
        <v>-209.25899999999999</v>
      </c>
      <c r="N90" s="274">
        <f>('Annual CF'!I39)/10^3</f>
        <v>-219.40899999999999</v>
      </c>
      <c r="O90" s="274">
        <f>('Annual CF'!J39)/10^3</f>
        <v>-263.04700000000003</v>
      </c>
      <c r="P90" s="274">
        <f>('Annual CF'!K39)/10^3</f>
        <v>-303.86399999999998</v>
      </c>
      <c r="Q90" s="274">
        <f>('Annual CF'!L39)/10^3</f>
        <v>-451.90600000000001</v>
      </c>
      <c r="R90" s="274">
        <f>('Annual CF'!M39)/10^3</f>
        <v>-464.834</v>
      </c>
    </row>
    <row r="91" spans="4:18" s="7" customFormat="1" ht="14.1" customHeight="1" x14ac:dyDescent="0.25">
      <c r="D91" s="13" t="s">
        <v>183</v>
      </c>
      <c r="E91" s="79"/>
      <c r="F91" s="28"/>
      <c r="G91" s="22" t="s">
        <v>142</v>
      </c>
      <c r="H91" s="28"/>
      <c r="I91" s="271">
        <f>('Annual CF'!D40+'Annual CF'!D41+'Annual CF'!D43+'Annual CF'!D47)/10^3</f>
        <v>-151.41</v>
      </c>
      <c r="J91" s="271">
        <f>('Annual CF'!E40+'Annual CF'!E41+'Annual CF'!E43+'Annual CF'!E47)/10^3</f>
        <v>-14.933999999999999</v>
      </c>
      <c r="K91" s="271">
        <f>('Annual CF'!F40+'Annual CF'!F41+'Annual CF'!F43+'Annual CF'!F47)/10^3</f>
        <v>-73.971000000000004</v>
      </c>
      <c r="L91" s="271">
        <f>('Annual CF'!G40+'Annual CF'!G41+'Annual CF'!G43+'Annual CF'!G47)/10^3</f>
        <v>-41.1</v>
      </c>
      <c r="M91" s="271">
        <f>('Annual CF'!H40+'Annual CF'!H41+'Annual CF'!H43+'Annual CF'!H47)/10^3</f>
        <v>-16.542000000000002</v>
      </c>
      <c r="N91" s="271">
        <f>('Annual CF'!I40+'Annual CF'!I41+'Annual CF'!I43+'Annual CF'!I47)/10^3</f>
        <v>7.15</v>
      </c>
      <c r="O91" s="271">
        <f>('Annual CF'!J40+'Annual CF'!J41+'Annual CF'!J43+'Annual CF'!J47)/10^3</f>
        <v>-98.795000000000002</v>
      </c>
      <c r="P91" s="271">
        <f>('Annual CF'!K40+'Annual CF'!K41+'Annual CF'!K43+'Annual CF'!K47)/10^3</f>
        <v>-17.484000000000002</v>
      </c>
      <c r="Q91" s="271">
        <f>('Annual CF'!L40+'Annual CF'!L41+'Annual CF'!L43+'Annual CF'!L47)/10^3</f>
        <v>-27.268000000000001</v>
      </c>
      <c r="R91" s="271">
        <f>('Annual CF'!M40+'Annual CF'!M41+'Annual CF'!M43+'Annual CF'!M47)/10^3</f>
        <v>-12.904</v>
      </c>
    </row>
    <row r="92" spans="4:18" s="7" customFormat="1" ht="14.1" customHeight="1" x14ac:dyDescent="0.25">
      <c r="D92" s="28" t="s">
        <v>463</v>
      </c>
      <c r="E92" s="79"/>
      <c r="F92" s="28"/>
      <c r="G92" s="22" t="s">
        <v>142</v>
      </c>
      <c r="H92" s="28"/>
      <c r="I92" s="271">
        <f>+('Annual CF'!D35+'Annual CF'!D36+'Annual CF'!D37+'Annual CF'!D38+'Annual CF'!D48+'Annual CF'!D44+'Annual CF'!D46+'Annual CF'!D42)/1000-I85</f>
        <v>463.45600000000002</v>
      </c>
      <c r="J92" s="271">
        <f>+('Annual CF'!E35+'Annual CF'!E36+'Annual CF'!E37+'Annual CF'!E38+'Annual CF'!E48+'Annual CF'!E44+'Annual CF'!E46+'Annual CF'!E42)/1000-J85</f>
        <v>237.18600000000001</v>
      </c>
      <c r="K92" s="271">
        <f>+('Annual CF'!F35+'Annual CF'!F36+'Annual CF'!F37+'Annual CF'!F38+'Annual CF'!F48+'Annual CF'!F44+'Annual CF'!F46+'Annual CF'!F42)/1000-K85</f>
        <v>179.947</v>
      </c>
      <c r="L92" s="271">
        <f>+('Annual CF'!G35+'Annual CF'!G36+'Annual CF'!G37+'Annual CF'!G38+'Annual CF'!G48+'Annual CF'!G44+'Annual CF'!G46+'Annual CF'!G42)/1000-L85</f>
        <v>550.98500000000001</v>
      </c>
      <c r="M92" s="271">
        <f>+('Annual CF'!H35+'Annual CF'!H36+'Annual CF'!H37+'Annual CF'!H38+'Annual CF'!H48+'Annual CF'!H44+'Annual CF'!H46+'Annual CF'!H42)/1000-M85</f>
        <v>251.35900000000001</v>
      </c>
      <c r="N92" s="271">
        <f>+('Annual CF'!I35+'Annual CF'!I36+'Annual CF'!I37+'Annual CF'!I38+'Annual CF'!I48+'Annual CF'!I44+'Annual CF'!I46+'Annual CF'!I42)/1000-N85</f>
        <v>68.817491583835562</v>
      </c>
      <c r="O92" s="271">
        <f>+('Annual CF'!J35+'Annual CF'!J36+'Annual CF'!J37+'Annual CF'!J38+'Annual CF'!J48+'Annual CF'!J44+'Annual CF'!J46+'Annual CF'!J42)/1000-O85</f>
        <v>2074.6140814556647</v>
      </c>
      <c r="P92" s="271">
        <f>+('Annual CF'!K35+'Annual CF'!K36+'Annual CF'!K37+'Annual CF'!K38+'Annual CF'!K48+'Annual CF'!K44+'Annual CF'!K46+'Annual CF'!K42)/1000-P85</f>
        <v>330.27167315487503</v>
      </c>
      <c r="Q92" s="271">
        <f>+('Annual CF'!L35+'Annual CF'!L36+'Annual CF'!L37+'Annual CF'!L38+'Annual CF'!L48+'Annual CF'!L44+'Annual CF'!L46+'Annual CF'!L42)/1000-Q85</f>
        <v>111.91499999999999</v>
      </c>
      <c r="R92" s="271">
        <f>+('Annual CF'!M35+'Annual CF'!M36+'Annual CF'!M37+'Annual CF'!M38+'Annual CF'!M48+'Annual CF'!M44+'Annual CF'!M46+'Annual CF'!M42)/1000-R85</f>
        <v>136.791</v>
      </c>
    </row>
    <row r="93" spans="4:18" s="7" customFormat="1" ht="14.1" customHeight="1" x14ac:dyDescent="0.25">
      <c r="D93" s="28" t="s">
        <v>193</v>
      </c>
      <c r="E93" s="79"/>
      <c r="F93" s="28"/>
      <c r="G93" s="22" t="s">
        <v>142</v>
      </c>
      <c r="H93" s="28"/>
      <c r="I93" s="271">
        <f>('Annual CF'!D45)/10^3</f>
        <v>-161.327</v>
      </c>
      <c r="J93" s="271">
        <f>('Annual CF'!E45)/10^3</f>
        <v>-110</v>
      </c>
      <c r="K93" s="271">
        <f>('Annual CF'!F45)/10^3</f>
        <v>0</v>
      </c>
      <c r="L93" s="271">
        <f>('Annual CF'!G45)/10^3</f>
        <v>-370.52800000000002</v>
      </c>
      <c r="M93" s="271">
        <f>('Annual CF'!H45)/10^3</f>
        <v>0</v>
      </c>
      <c r="N93" s="271">
        <f>('Annual CF'!I45)/10^3</f>
        <v>0</v>
      </c>
      <c r="O93" s="271">
        <f>('Annual CF'!J45)/10^3</f>
        <v>-1703.787</v>
      </c>
      <c r="P93" s="271">
        <f>('Annual CF'!K45)/10^3</f>
        <v>0</v>
      </c>
      <c r="Q93" s="271">
        <f>('Annual CF'!L45)/10^3</f>
        <v>0</v>
      </c>
      <c r="R93" s="271">
        <f>('Annual CF'!M45)/10^3</f>
        <v>0</v>
      </c>
    </row>
    <row r="94" spans="4:18" s="7" customFormat="1" ht="14.1" customHeight="1" x14ac:dyDescent="0.25">
      <c r="D94" s="28" t="s">
        <v>241</v>
      </c>
      <c r="E94" s="79"/>
      <c r="F94" s="28"/>
      <c r="G94" s="22" t="s">
        <v>142</v>
      </c>
      <c r="H94" s="28"/>
      <c r="I94" s="272">
        <f>('Annual CF'!D27+'Annual CF'!D28+'Annual CF'!D29+'Annual CF'!D30+'Annual CF'!D31)/10^3</f>
        <v>-48.496000000000002</v>
      </c>
      <c r="J94" s="272">
        <f>('Annual CF'!E27+'Annual CF'!E28+'Annual CF'!E29+'Annual CF'!E30+'Annual CF'!E31)/10^3</f>
        <v>-64.921999999999997</v>
      </c>
      <c r="K94" s="272">
        <f>('Annual CF'!F27+'Annual CF'!F28+'Annual CF'!F29+'Annual CF'!F30+'Annual CF'!F31)/10^3</f>
        <v>-7.6669999999999998</v>
      </c>
      <c r="L94" s="272">
        <f>('Annual CF'!G27+'Annual CF'!G28+'Annual CF'!G29+'Annual CF'!G30+'Annual CF'!G31)/10^3</f>
        <v>-7.9329999999999998</v>
      </c>
      <c r="M94" s="272">
        <f>('Annual CF'!H27+'Annual CF'!H28+'Annual CF'!H29+'Annual CF'!H30+'Annual CF'!H31)/10^3</f>
        <v>-93.304000000000002</v>
      </c>
      <c r="N94" s="272">
        <f>('Annual CF'!I27+'Annual CF'!I28+'Annual CF'!I29+'Annual CF'!I30+'Annual CF'!I31)/10^3</f>
        <v>-1.63</v>
      </c>
      <c r="O94" s="272">
        <f>('Annual CF'!J27+'Annual CF'!J28+'Annual CF'!J29+'Annual CF'!J30+'Annual CF'!J31)/10^3</f>
        <v>-1</v>
      </c>
      <c r="P94" s="272">
        <f>('Annual CF'!K27+'Annual CF'!K28+'Annual CF'!K29+'Annual CF'!K30+'Annual CF'!K31)/10^3</f>
        <v>0</v>
      </c>
      <c r="Q94" s="272">
        <f>('Annual CF'!L27+'Annual CF'!L28+'Annual CF'!L29+'Annual CF'!L30+'Annual CF'!L31)/10^3</f>
        <v>0</v>
      </c>
      <c r="R94" s="272">
        <f>('Annual CF'!M27+'Annual CF'!M28+'Annual CF'!M29+'Annual CF'!M30+'Annual CF'!M31)/10^3</f>
        <v>0</v>
      </c>
    </row>
    <row r="95" spans="4:18" s="7" customFormat="1" ht="14.1" customHeight="1" x14ac:dyDescent="0.25">
      <c r="D95" s="76" t="s">
        <v>464</v>
      </c>
      <c r="E95" s="79"/>
      <c r="F95" s="28"/>
      <c r="G95" s="22" t="s">
        <v>142</v>
      </c>
      <c r="H95" s="28"/>
      <c r="I95" s="272">
        <f>+'Annual IS'!D35</f>
        <v>-21.14</v>
      </c>
      <c r="J95" s="272">
        <f>+'Annual IS'!E35</f>
        <v>-28.7</v>
      </c>
      <c r="K95" s="272">
        <f>+'Annual IS'!F35</f>
        <v>-57.099999999999994</v>
      </c>
      <c r="L95" s="272">
        <f>+'Annual IS'!G35</f>
        <v>-27.1</v>
      </c>
      <c r="M95" s="272">
        <f>+'Annual IS'!H35</f>
        <v>-58.2</v>
      </c>
      <c r="N95" s="272">
        <f>+'Annual IS'!I35</f>
        <v>-66.400000000000006</v>
      </c>
      <c r="O95" s="272">
        <f>+'Annual IS'!J35</f>
        <v>-24.61</v>
      </c>
      <c r="P95" s="272">
        <f>+'Annual IS'!K35</f>
        <v>-35.49</v>
      </c>
      <c r="Q95" s="272">
        <f>+'Annual IS'!L35</f>
        <v>-42.46</v>
      </c>
      <c r="R95" s="272">
        <f>+'Annual IS'!M35</f>
        <v>-32.15</v>
      </c>
    </row>
    <row r="96" spans="4:18" s="7" customFormat="1" ht="14.1" customHeight="1" thickBot="1" x14ac:dyDescent="0.3">
      <c r="D96" s="80" t="s">
        <v>195</v>
      </c>
      <c r="E96" s="79"/>
      <c r="F96" s="28"/>
      <c r="G96" s="58" t="s">
        <v>142</v>
      </c>
      <c r="H96" s="28"/>
      <c r="I96" s="81">
        <f>I97-SUM(I89:I95)</f>
        <v>-14.945000000000004</v>
      </c>
      <c r="J96" s="81">
        <f t="shared" ref="J96:Q96" si="65">J97-SUM(J89:J95)</f>
        <v>-2.2950000000000905</v>
      </c>
      <c r="K96" s="81">
        <f t="shared" si="65"/>
        <v>23.042999999999989</v>
      </c>
      <c r="L96" s="81">
        <f t="shared" si="65"/>
        <v>-0.27700000000007563</v>
      </c>
      <c r="M96" s="81">
        <f t="shared" si="65"/>
        <v>-1.8000000000000504</v>
      </c>
      <c r="N96" s="81">
        <f t="shared" si="65"/>
        <v>22.84300000000006</v>
      </c>
      <c r="O96" s="81">
        <f>O97-SUM(O89:O95)</f>
        <v>-0.62174054080189478</v>
      </c>
      <c r="P96" s="81">
        <f t="shared" si="65"/>
        <v>7.9999999999458282E-3</v>
      </c>
      <c r="Q96" s="81">
        <f t="shared" si="65"/>
        <v>-24.19443220747328</v>
      </c>
      <c r="R96" s="81">
        <f t="shared" ref="R96" si="66">R97-SUM(R89:R95)</f>
        <v>3.2258765845451052</v>
      </c>
    </row>
    <row r="97" spans="1:22" s="7" customFormat="1" ht="14.1" customHeight="1" thickBot="1" x14ac:dyDescent="0.3">
      <c r="D97" s="90" t="s">
        <v>161</v>
      </c>
      <c r="E97" s="93"/>
      <c r="F97" s="90"/>
      <c r="G97" s="91" t="s">
        <v>142</v>
      </c>
      <c r="H97" s="90"/>
      <c r="I97" s="275">
        <f>+'Annual CF'!D52/1000</f>
        <v>-0.157</v>
      </c>
      <c r="J97" s="275">
        <f>+'Annual CF'!E52/1000</f>
        <v>-0.49399999999999999</v>
      </c>
      <c r="K97" s="275">
        <f>+'Annual CF'!F52/1000</f>
        <v>8.4559999999999995</v>
      </c>
      <c r="L97" s="275">
        <f>+'Annual CF'!G52/1000</f>
        <v>-5.52</v>
      </c>
      <c r="M97" s="275">
        <f>+'Annual CF'!H52/1000</f>
        <v>4.1539999999999999</v>
      </c>
      <c r="N97" s="275">
        <f>+'Annual CF'!I52/1000</f>
        <v>87.447999999999993</v>
      </c>
      <c r="O97" s="275">
        <f>+'Annual CF'!J52/1000</f>
        <v>-83.953000000000003</v>
      </c>
      <c r="P97" s="275">
        <f>+'Annual CF'!K52/1000</f>
        <v>19.481999999999999</v>
      </c>
      <c r="Q97" s="275">
        <f>+'Annual CF'!L52/1000</f>
        <v>-21.163</v>
      </c>
      <c r="R97" s="275">
        <f>+'Annual CF'!M52/1000</f>
        <v>9.8350000000000009</v>
      </c>
    </row>
    <row r="98" spans="1:22" s="7" customFormat="1" ht="14.1" customHeight="1" x14ac:dyDescent="0.25">
      <c r="A98" s="7" t="s">
        <v>56</v>
      </c>
      <c r="E98" s="32"/>
      <c r="G98" s="41"/>
    </row>
    <row r="99" spans="1:22" s="7" customFormat="1" ht="14.1" customHeight="1" x14ac:dyDescent="0.25">
      <c r="C99" s="47" t="s">
        <v>166</v>
      </c>
      <c r="E99" s="32"/>
      <c r="G99" s="41"/>
    </row>
    <row r="100" spans="1:22" s="7" customFormat="1" ht="14.1" customHeight="1" x14ac:dyDescent="0.25">
      <c r="D100" s="13" t="s">
        <v>167</v>
      </c>
      <c r="E100" s="26"/>
      <c r="F100" s="13"/>
      <c r="G100" s="22" t="s">
        <v>142</v>
      </c>
      <c r="H100" s="13"/>
      <c r="I100" s="17">
        <f t="shared" ref="I100:R100" si="67">I28</f>
        <v>863.76199999999994</v>
      </c>
      <c r="J100" s="17">
        <f t="shared" si="67"/>
        <v>997.42100000000005</v>
      </c>
      <c r="K100" s="17">
        <f t="shared" si="67"/>
        <v>1158</v>
      </c>
      <c r="L100" s="17">
        <f t="shared" si="67"/>
        <v>1329.5360000000001</v>
      </c>
      <c r="M100" s="17">
        <f t="shared" si="67"/>
        <v>1548.9359999999999</v>
      </c>
      <c r="N100" s="17">
        <f t="shared" si="67"/>
        <v>1740.5809999999999</v>
      </c>
      <c r="O100" s="17">
        <f t="shared" si="67"/>
        <v>2043.673</v>
      </c>
      <c r="P100" s="17">
        <f t="shared" si="67"/>
        <v>2358.1579999999999</v>
      </c>
      <c r="Q100" s="17">
        <f t="shared" si="67"/>
        <v>2635.2939999999999</v>
      </c>
      <c r="R100" s="17">
        <f t="shared" si="67"/>
        <v>2947.8090000000002</v>
      </c>
      <c r="T100" s="177"/>
      <c r="U100" s="177"/>
      <c r="V100" s="177"/>
    </row>
    <row r="101" spans="1:22" s="7" customFormat="1" ht="14.1" customHeight="1" x14ac:dyDescent="0.25">
      <c r="D101" s="13" t="s">
        <v>168</v>
      </c>
      <c r="E101" s="26"/>
      <c r="F101" s="13"/>
      <c r="G101" s="22" t="s">
        <v>142</v>
      </c>
      <c r="H101" s="13"/>
      <c r="I101" s="17">
        <f t="shared" ref="I101:R101" si="68">I45</f>
        <v>148.05799999999999</v>
      </c>
      <c r="J101" s="17">
        <f t="shared" si="68"/>
        <v>187.06899999999999</v>
      </c>
      <c r="K101" s="17">
        <f t="shared" si="68"/>
        <v>212</v>
      </c>
      <c r="L101" s="17">
        <f t="shared" si="68"/>
        <v>266.82299999999998</v>
      </c>
      <c r="M101" s="17">
        <f t="shared" si="68"/>
        <v>329.09800000000001</v>
      </c>
      <c r="N101" s="17">
        <f t="shared" si="68"/>
        <v>338.13799999999998</v>
      </c>
      <c r="O101" s="17">
        <f t="shared" si="68"/>
        <v>373.49200000000002</v>
      </c>
      <c r="P101" s="17">
        <f t="shared" si="68"/>
        <v>385.95400000000001</v>
      </c>
      <c r="Q101" s="17">
        <f t="shared" si="68"/>
        <v>362.27300000000002</v>
      </c>
      <c r="R101" s="17">
        <f t="shared" si="68"/>
        <v>367.36799999999999</v>
      </c>
      <c r="T101" s="177"/>
      <c r="U101" s="177"/>
      <c r="V101" s="177"/>
    </row>
    <row r="102" spans="1:22" s="7" customFormat="1" ht="14.1" customHeight="1" thickBot="1" x14ac:dyDescent="0.3">
      <c r="D102" s="13" t="s">
        <v>169</v>
      </c>
      <c r="E102" s="26"/>
      <c r="F102" s="13"/>
      <c r="G102" s="22" t="s">
        <v>142</v>
      </c>
      <c r="H102" s="13"/>
      <c r="I102" s="17">
        <f t="shared" ref="I102:R102" si="69">I52</f>
        <v>0</v>
      </c>
      <c r="J102" s="17">
        <f t="shared" si="69"/>
        <v>0</v>
      </c>
      <c r="K102" s="17">
        <f t="shared" si="69"/>
        <v>2.1829999999999998</v>
      </c>
      <c r="L102" s="17">
        <f t="shared" si="69"/>
        <v>16.167000000000002</v>
      </c>
      <c r="M102" s="17">
        <f t="shared" si="69"/>
        <v>22.696000000000002</v>
      </c>
      <c r="N102" s="17">
        <f t="shared" si="69"/>
        <v>60.183999999999997</v>
      </c>
      <c r="O102" s="17">
        <f t="shared" si="69"/>
        <v>91.682000000000002</v>
      </c>
      <c r="P102" s="17">
        <f t="shared" si="69"/>
        <v>82.91</v>
      </c>
      <c r="Q102" s="17">
        <f t="shared" si="69"/>
        <v>92.403999999999996</v>
      </c>
      <c r="R102" s="17">
        <f t="shared" si="69"/>
        <v>92.840999999999994</v>
      </c>
      <c r="T102" s="177"/>
      <c r="U102" s="177"/>
      <c r="V102" s="177"/>
    </row>
    <row r="103" spans="1:22" s="7" customFormat="1" ht="14.1" customHeight="1" thickTop="1" thickBot="1" x14ac:dyDescent="0.3">
      <c r="D103" s="61" t="s">
        <v>426</v>
      </c>
      <c r="E103" s="62"/>
      <c r="F103" s="61"/>
      <c r="G103" s="63" t="s">
        <v>142</v>
      </c>
      <c r="H103" s="61"/>
      <c r="I103" s="64">
        <f>SUM(I100:I102)</f>
        <v>1011.8199999999999</v>
      </c>
      <c r="J103" s="64">
        <f t="shared" ref="J103:Q103" si="70">SUM(J100:J102)</f>
        <v>1184.49</v>
      </c>
      <c r="K103" s="64">
        <f t="shared" si="70"/>
        <v>1372.183</v>
      </c>
      <c r="L103" s="64">
        <f t="shared" si="70"/>
        <v>1612.5259999999998</v>
      </c>
      <c r="M103" s="64">
        <f t="shared" si="70"/>
        <v>1900.7299999999998</v>
      </c>
      <c r="N103" s="64">
        <f t="shared" si="70"/>
        <v>2138.9030000000002</v>
      </c>
      <c r="O103" s="64">
        <f t="shared" si="70"/>
        <v>2508.8469999999998</v>
      </c>
      <c r="P103" s="64">
        <f t="shared" si="70"/>
        <v>2827.0219999999999</v>
      </c>
      <c r="Q103" s="64">
        <f t="shared" si="70"/>
        <v>3089.971</v>
      </c>
      <c r="R103" s="64">
        <f t="shared" ref="R103" si="71">SUM(R100:R102)</f>
        <v>3408.018</v>
      </c>
      <c r="T103" s="177"/>
    </row>
    <row r="104" spans="1:22" s="7" customFormat="1" ht="14.1" customHeight="1" thickTop="1" x14ac:dyDescent="0.25">
      <c r="E104" s="32"/>
      <c r="G104" s="41"/>
    </row>
    <row r="105" spans="1:22" s="7" customFormat="1" ht="14.1" customHeight="1" x14ac:dyDescent="0.25">
      <c r="D105" s="13" t="s">
        <v>11</v>
      </c>
      <c r="E105" s="26"/>
      <c r="F105" s="13"/>
      <c r="G105" s="22" t="s">
        <v>142</v>
      </c>
      <c r="H105" s="17">
        <f t="shared" ref="H105:R105" si="72">H30</f>
        <v>440.971</v>
      </c>
      <c r="I105" s="17">
        <f t="shared" si="72"/>
        <v>521.77499999999998</v>
      </c>
      <c r="J105" s="17">
        <f t="shared" si="72"/>
        <v>629.846</v>
      </c>
      <c r="K105" s="17">
        <f t="shared" si="72"/>
        <v>759.90899999999999</v>
      </c>
      <c r="L105" s="17">
        <f t="shared" si="72"/>
        <v>890.70399999999995</v>
      </c>
      <c r="M105" s="17">
        <f t="shared" si="72"/>
        <v>1075.348</v>
      </c>
      <c r="N105" s="17">
        <f t="shared" si="72"/>
        <v>1255.7739999999999</v>
      </c>
      <c r="O105" s="17">
        <f t="shared" si="72"/>
        <v>1477.423</v>
      </c>
      <c r="P105" s="17">
        <f t="shared" si="72"/>
        <v>1694.335</v>
      </c>
      <c r="Q105" s="17">
        <f t="shared" si="72"/>
        <v>1885.31</v>
      </c>
      <c r="R105" s="17">
        <f t="shared" si="72"/>
        <v>2141.8879999999999</v>
      </c>
    </row>
    <row r="106" spans="1:22" s="7" customFormat="1" ht="14.1" customHeight="1" x14ac:dyDescent="0.25">
      <c r="D106" s="13" t="s">
        <v>13</v>
      </c>
      <c r="E106" s="26"/>
      <c r="F106" s="13"/>
      <c r="G106" s="22" t="s">
        <v>142</v>
      </c>
      <c r="H106" s="17">
        <f t="shared" ref="H106:R106" si="73">H46</f>
        <v>-137.202</v>
      </c>
      <c r="I106" s="17">
        <f t="shared" si="73"/>
        <v>-160.93299999999999</v>
      </c>
      <c r="J106" s="17">
        <f t="shared" si="73"/>
        <v>-177.36099999999999</v>
      </c>
      <c r="K106" s="17">
        <f t="shared" si="73"/>
        <v>-202.81899999999999</v>
      </c>
      <c r="L106" s="17">
        <f t="shared" si="73"/>
        <v>-277.76799999999997</v>
      </c>
      <c r="M106" s="17">
        <f t="shared" si="73"/>
        <v>-316.29700000000003</v>
      </c>
      <c r="N106" s="17">
        <f t="shared" si="73"/>
        <v>-321.99900000000002</v>
      </c>
      <c r="O106" s="17">
        <f t="shared" si="73"/>
        <v>-421.13900000000001</v>
      </c>
      <c r="P106" s="17">
        <f t="shared" si="73"/>
        <v>-544.94899999999996</v>
      </c>
      <c r="Q106" s="17">
        <f t="shared" si="73"/>
        <v>-551.06299999999999</v>
      </c>
      <c r="R106" s="17">
        <f t="shared" si="73"/>
        <v>-627.44100000000003</v>
      </c>
    </row>
    <row r="107" spans="1:22" s="7" customFormat="1" ht="14.1" customHeight="1" thickBot="1" x14ac:dyDescent="0.3">
      <c r="D107" s="13" t="s">
        <v>15</v>
      </c>
      <c r="E107" s="26"/>
      <c r="F107" s="13"/>
      <c r="G107" s="22" t="s">
        <v>142</v>
      </c>
      <c r="H107" s="17">
        <f t="shared" ref="H107:R107" si="74">H53</f>
        <v>0</v>
      </c>
      <c r="I107" s="17">
        <f t="shared" si="74"/>
        <v>4.2999999999999997E-2</v>
      </c>
      <c r="J107" s="17">
        <f t="shared" si="74"/>
        <v>0.371</v>
      </c>
      <c r="K107" s="17">
        <f t="shared" si="74"/>
        <v>0.46400000000000002</v>
      </c>
      <c r="L107" s="17">
        <f t="shared" si="74"/>
        <v>-2.3220000000000001</v>
      </c>
      <c r="M107" s="17">
        <f t="shared" si="74"/>
        <v>2.0350000000000001</v>
      </c>
      <c r="N107" s="17">
        <f t="shared" si="74"/>
        <v>-14.206</v>
      </c>
      <c r="O107" s="17">
        <f t="shared" si="74"/>
        <v>-8.4480000000000004</v>
      </c>
      <c r="P107" s="17">
        <f t="shared" si="74"/>
        <v>2.4239999999999999</v>
      </c>
      <c r="Q107" s="17">
        <f t="shared" si="74"/>
        <v>6.3090000000000002</v>
      </c>
      <c r="R107" s="17">
        <f t="shared" si="74"/>
        <v>19.594000000000001</v>
      </c>
    </row>
    <row r="108" spans="1:22" s="20" customFormat="1" ht="14.1" customHeight="1" thickTop="1" thickBot="1" x14ac:dyDescent="0.3">
      <c r="D108" s="95" t="s">
        <v>1</v>
      </c>
      <c r="E108" s="96"/>
      <c r="F108" s="95"/>
      <c r="G108" s="97" t="s">
        <v>142</v>
      </c>
      <c r="H108" s="98">
        <f>SUM(H105:H107)</f>
        <v>303.76900000000001</v>
      </c>
      <c r="I108" s="98">
        <f>SUM(I105:I107)</f>
        <v>360.88499999999999</v>
      </c>
      <c r="J108" s="98">
        <f t="shared" ref="J108:Q108" si="75">SUM(J105:J107)</f>
        <v>452.85599999999999</v>
      </c>
      <c r="K108" s="98">
        <f t="shared" si="75"/>
        <v>557.55400000000009</v>
      </c>
      <c r="L108" s="98">
        <f t="shared" si="75"/>
        <v>610.61399999999992</v>
      </c>
      <c r="M108" s="98">
        <f t="shared" si="75"/>
        <v>761.0859999999999</v>
      </c>
      <c r="N108" s="98">
        <f t="shared" si="75"/>
        <v>919.56899999999985</v>
      </c>
      <c r="O108" s="98">
        <f t="shared" si="75"/>
        <v>1047.836</v>
      </c>
      <c r="P108" s="98">
        <f t="shared" si="75"/>
        <v>1151.81</v>
      </c>
      <c r="Q108" s="98">
        <f t="shared" si="75"/>
        <v>1340.5559999999998</v>
      </c>
      <c r="R108" s="98">
        <f t="shared" ref="R108" si="76">SUM(R105:R107)</f>
        <v>1534.0409999999999</v>
      </c>
    </row>
    <row r="109" spans="1:22" s="7" customFormat="1" ht="14.1" customHeight="1" thickBot="1" x14ac:dyDescent="0.3">
      <c r="D109" s="76" t="s">
        <v>464</v>
      </c>
      <c r="E109" s="32"/>
      <c r="G109" s="41" t="s">
        <v>142</v>
      </c>
      <c r="I109" s="65">
        <f>I95</f>
        <v>-21.14</v>
      </c>
      <c r="J109" s="65">
        <f t="shared" ref="J109:R109" si="77">J95</f>
        <v>-28.7</v>
      </c>
      <c r="K109" s="65">
        <f t="shared" si="77"/>
        <v>-57.099999999999994</v>
      </c>
      <c r="L109" s="65">
        <f t="shared" si="77"/>
        <v>-27.1</v>
      </c>
      <c r="M109" s="65">
        <f t="shared" si="77"/>
        <v>-58.2</v>
      </c>
      <c r="N109" s="65">
        <f t="shared" si="77"/>
        <v>-66.400000000000006</v>
      </c>
      <c r="O109" s="65">
        <f t="shared" si="77"/>
        <v>-24.61</v>
      </c>
      <c r="P109" s="65">
        <f t="shared" si="77"/>
        <v>-35.49</v>
      </c>
      <c r="Q109" s="65">
        <f t="shared" si="77"/>
        <v>-42.46</v>
      </c>
      <c r="R109" s="65">
        <f t="shared" si="77"/>
        <v>-32.15</v>
      </c>
    </row>
    <row r="110" spans="1:22" s="7" customFormat="1" ht="14.1" customHeight="1" thickBot="1" x14ac:dyDescent="0.3">
      <c r="D110" s="90" t="s">
        <v>185</v>
      </c>
      <c r="E110" s="89"/>
      <c r="F110" s="90"/>
      <c r="G110" s="91" t="s">
        <v>142</v>
      </c>
      <c r="H110" s="90"/>
      <c r="I110" s="275">
        <f>+'Annual IS'!D10</f>
        <v>339.65600000000001</v>
      </c>
      <c r="J110" s="275">
        <f>+'Annual IS'!E10</f>
        <v>423.79999999999995</v>
      </c>
      <c r="K110" s="275">
        <f>+'Annual IS'!F10</f>
        <v>500.40900000000011</v>
      </c>
      <c r="L110" s="275">
        <f>+'Annual IS'!G10</f>
        <v>583.5</v>
      </c>
      <c r="M110" s="275">
        <f>+'Annual IS'!H10</f>
        <v>702.9</v>
      </c>
      <c r="N110" s="275">
        <f>+'Annual IS'!I10</f>
        <v>853.1</v>
      </c>
      <c r="O110" s="275">
        <f>+'Annual IS'!J10</f>
        <v>1023.2290234767246</v>
      </c>
      <c r="P110" s="275">
        <f>+'Annual IS'!K10</f>
        <v>1116.321795705551</v>
      </c>
      <c r="Q110" s="275">
        <f>+'Annual IS'!L10</f>
        <v>1298.0991156881048</v>
      </c>
      <c r="R110" s="275">
        <f>+'Annual IS'!M10</f>
        <v>1501.8921817933845</v>
      </c>
    </row>
    <row r="111" spans="1:22" s="7" customFormat="1" ht="14.1" customHeight="1" x14ac:dyDescent="0.25">
      <c r="E111" s="32"/>
      <c r="G111" s="41"/>
      <c r="I111" s="291"/>
      <c r="J111" s="291"/>
      <c r="K111" s="291"/>
      <c r="L111" s="291"/>
      <c r="M111" s="291"/>
      <c r="N111" s="291"/>
      <c r="O111" s="291"/>
      <c r="P111" s="291"/>
      <c r="Q111" s="291"/>
      <c r="R111" s="291"/>
    </row>
    <row r="112" spans="1:22" s="7" customFormat="1" ht="14.1" customHeight="1" x14ac:dyDescent="0.25">
      <c r="D112" s="13" t="s">
        <v>247</v>
      </c>
      <c r="E112" s="26"/>
      <c r="F112" s="13"/>
      <c r="G112" s="22" t="s">
        <v>142</v>
      </c>
      <c r="H112" s="13"/>
      <c r="I112" s="17">
        <f t="shared" ref="I112:R112" si="78">I65</f>
        <v>213.29599999999994</v>
      </c>
      <c r="J112" s="17">
        <f t="shared" si="78"/>
        <v>276.29999999999995</v>
      </c>
      <c r="K112" s="17">
        <f t="shared" si="78"/>
        <v>362.2000000000001</v>
      </c>
      <c r="L112" s="17">
        <f t="shared" si="78"/>
        <v>370.20000000000005</v>
      </c>
      <c r="M112" s="17">
        <f t="shared" si="78"/>
        <v>448.80000000000013</v>
      </c>
      <c r="N112" s="17">
        <f t="shared" si="78"/>
        <v>549.70000000000016</v>
      </c>
      <c r="O112" s="17">
        <f t="shared" si="78"/>
        <v>572.24249448697628</v>
      </c>
      <c r="P112" s="17">
        <f t="shared" si="78"/>
        <v>576.83461682371171</v>
      </c>
      <c r="Q112" s="17">
        <f t="shared" si="78"/>
        <v>693.97061866473393</v>
      </c>
      <c r="R112" s="17">
        <f t="shared" si="78"/>
        <v>819.06988179739005</v>
      </c>
    </row>
    <row r="113" spans="4:18" s="7" customFormat="1" ht="14.1" customHeight="1" x14ac:dyDescent="0.25">
      <c r="D113" s="76" t="s">
        <v>464</v>
      </c>
      <c r="E113" s="26"/>
      <c r="F113" s="13"/>
      <c r="G113" s="22" t="s">
        <v>142</v>
      </c>
      <c r="H113" s="13"/>
      <c r="I113" s="18">
        <f>I95</f>
        <v>-21.14</v>
      </c>
      <c r="J113" s="18">
        <f t="shared" ref="J113:R113" si="79">J95</f>
        <v>-28.7</v>
      </c>
      <c r="K113" s="18">
        <f t="shared" si="79"/>
        <v>-57.099999999999994</v>
      </c>
      <c r="L113" s="18">
        <f t="shared" si="79"/>
        <v>-27.1</v>
      </c>
      <c r="M113" s="18">
        <f t="shared" si="79"/>
        <v>-58.2</v>
      </c>
      <c r="N113" s="18">
        <f t="shared" si="79"/>
        <v>-66.400000000000006</v>
      </c>
      <c r="O113" s="18">
        <f t="shared" si="79"/>
        <v>-24.61</v>
      </c>
      <c r="P113" s="18">
        <f t="shared" si="79"/>
        <v>-35.49</v>
      </c>
      <c r="Q113" s="18">
        <f t="shared" si="79"/>
        <v>-42.46</v>
      </c>
      <c r="R113" s="18">
        <f t="shared" si="79"/>
        <v>-32.15</v>
      </c>
    </row>
    <row r="114" spans="4:18" s="7" customFormat="1" ht="14.1" customHeight="1" x14ac:dyDescent="0.25">
      <c r="D114" s="76" t="s">
        <v>465</v>
      </c>
      <c r="E114" s="26"/>
      <c r="F114" s="13"/>
      <c r="G114" s="22" t="s">
        <v>142</v>
      </c>
      <c r="H114" s="13"/>
      <c r="I114" s="271">
        <f>+'Annual IS'!D36</f>
        <v>-0.01</v>
      </c>
      <c r="J114" s="271">
        <f>+'Annual IS'!E36</f>
        <v>0</v>
      </c>
      <c r="K114" s="271">
        <f>+'Annual IS'!F36</f>
        <v>0</v>
      </c>
      <c r="L114" s="271">
        <f>+'Annual IS'!G36</f>
        <v>0</v>
      </c>
      <c r="M114" s="271">
        <f>+'Annual IS'!H36</f>
        <v>0</v>
      </c>
      <c r="N114" s="271">
        <f>+'Annual IS'!I36</f>
        <v>0</v>
      </c>
      <c r="O114" s="271">
        <f>+'Annual IS'!J36</f>
        <v>0</v>
      </c>
      <c r="P114" s="271">
        <f>+'Annual IS'!K36</f>
        <v>0</v>
      </c>
      <c r="Q114" s="271">
        <f>+'Annual IS'!L36</f>
        <v>0</v>
      </c>
      <c r="R114" s="271">
        <f>+'Annual IS'!M36</f>
        <v>-4.01</v>
      </c>
    </row>
    <row r="115" spans="4:18" s="7" customFormat="1" ht="14.1" customHeight="1" thickBot="1" x14ac:dyDescent="0.3">
      <c r="D115" s="76" t="s">
        <v>466</v>
      </c>
      <c r="E115" s="26"/>
      <c r="F115" s="13"/>
      <c r="G115" s="22" t="s">
        <v>142</v>
      </c>
      <c r="H115" s="13"/>
      <c r="I115" s="271">
        <f>+'Annual IS'!D37</f>
        <v>-143.69</v>
      </c>
      <c r="J115" s="271">
        <f>+'Annual IS'!E37</f>
        <v>-149.5</v>
      </c>
      <c r="K115" s="271">
        <f>+'Annual IS'!F37</f>
        <v>-153</v>
      </c>
      <c r="L115" s="271">
        <f>+'Annual IS'!G37</f>
        <v>-153.19999999999999</v>
      </c>
      <c r="M115" s="271">
        <f>+'Annual IS'!H37</f>
        <v>-153.1</v>
      </c>
      <c r="N115" s="271">
        <f>+'Annual IS'!I37</f>
        <v>-159</v>
      </c>
      <c r="O115" s="271">
        <f>+'Annual IS'!J37</f>
        <v>-416.76299999999998</v>
      </c>
      <c r="P115" s="271">
        <f>+'Annual IS'!K37</f>
        <v>-407.495</v>
      </c>
      <c r="Q115" s="271">
        <f>+'Annual IS'!L37</f>
        <v>-438.47500000000002</v>
      </c>
      <c r="R115" s="271">
        <f>+'Annual IS'!M37</f>
        <v>-475.48399999999998</v>
      </c>
    </row>
    <row r="116" spans="4:18" s="7" customFormat="1" ht="14.1" customHeight="1" thickBot="1" x14ac:dyDescent="0.3">
      <c r="D116" s="88" t="s">
        <v>57</v>
      </c>
      <c r="E116" s="89"/>
      <c r="F116" s="90"/>
      <c r="G116" s="91" t="s">
        <v>142</v>
      </c>
      <c r="H116" s="90"/>
      <c r="I116" s="289">
        <f t="shared" ref="I116:Q116" si="80">SUM(I112:I115)</f>
        <v>48.45599999999996</v>
      </c>
      <c r="J116" s="289">
        <f t="shared" si="80"/>
        <v>98.099999999999966</v>
      </c>
      <c r="K116" s="289">
        <f t="shared" si="80"/>
        <v>152.10000000000014</v>
      </c>
      <c r="L116" s="289">
        <f t="shared" si="80"/>
        <v>189.90000000000003</v>
      </c>
      <c r="M116" s="289">
        <f t="shared" si="80"/>
        <v>237.50000000000014</v>
      </c>
      <c r="N116" s="289">
        <f t="shared" si="80"/>
        <v>324.30000000000018</v>
      </c>
      <c r="O116" s="289">
        <f t="shared" si="80"/>
        <v>130.86949448697629</v>
      </c>
      <c r="P116" s="289">
        <f t="shared" si="80"/>
        <v>133.8496168237117</v>
      </c>
      <c r="Q116" s="289">
        <f t="shared" si="80"/>
        <v>213.03561866473387</v>
      </c>
      <c r="R116" s="289">
        <f>SUM(R112:R115)</f>
        <v>307.4258817973901</v>
      </c>
    </row>
    <row r="117" spans="4:18" s="7" customFormat="1" ht="14.1" customHeight="1" x14ac:dyDescent="0.25">
      <c r="D117" s="286"/>
      <c r="E117" s="287"/>
      <c r="F117" s="20"/>
      <c r="G117" s="288"/>
      <c r="H117" s="20"/>
      <c r="I117" s="291"/>
      <c r="J117" s="291"/>
      <c r="K117" s="291"/>
      <c r="L117" s="291"/>
      <c r="M117" s="291"/>
      <c r="N117" s="291"/>
      <c r="O117" s="291"/>
      <c r="P117" s="291"/>
      <c r="Q117" s="291"/>
      <c r="R117" s="291"/>
    </row>
    <row r="118" spans="4:18" s="7" customFormat="1" ht="14.1" customHeight="1" x14ac:dyDescent="0.25">
      <c r="D118" s="13" t="s">
        <v>391</v>
      </c>
      <c r="E118" s="26"/>
      <c r="F118" s="13"/>
      <c r="G118" s="22" t="s">
        <v>142</v>
      </c>
      <c r="H118" s="17"/>
      <c r="I118" s="17">
        <f t="shared" ref="I118:R118" si="81">I67</f>
        <v>-146.60400000000004</v>
      </c>
      <c r="J118" s="17">
        <f t="shared" si="81"/>
        <v>120.80099999999996</v>
      </c>
      <c r="K118" s="17">
        <f t="shared" si="81"/>
        <v>197.54600000000011</v>
      </c>
      <c r="L118" s="17">
        <f t="shared" si="81"/>
        <v>157.10800000000006</v>
      </c>
      <c r="M118" s="17">
        <f t="shared" si="81"/>
        <v>194.56000000000012</v>
      </c>
      <c r="N118" s="17">
        <f t="shared" si="81"/>
        <v>269.68700000000018</v>
      </c>
      <c r="O118" s="17">
        <f t="shared" si="81"/>
        <v>281.25077444267305</v>
      </c>
      <c r="P118" s="17">
        <f t="shared" si="81"/>
        <v>219.86001181136893</v>
      </c>
      <c r="Q118" s="17">
        <f t="shared" si="81"/>
        <v>285.83585803224071</v>
      </c>
      <c r="R118" s="17">
        <f t="shared" si="81"/>
        <v>360.5663634272824</v>
      </c>
    </row>
    <row r="119" spans="4:18" s="7" customFormat="1" ht="14.1" customHeight="1" x14ac:dyDescent="0.25">
      <c r="D119" s="76" t="s">
        <v>464</v>
      </c>
      <c r="E119" s="26"/>
      <c r="F119" s="13"/>
      <c r="G119" s="22" t="s">
        <v>142</v>
      </c>
      <c r="H119" s="17"/>
      <c r="I119" s="17">
        <f>I95</f>
        <v>-21.14</v>
      </c>
      <c r="J119" s="17">
        <f t="shared" ref="J119:R119" si="82">J95</f>
        <v>-28.7</v>
      </c>
      <c r="K119" s="17">
        <f t="shared" si="82"/>
        <v>-57.099999999999994</v>
      </c>
      <c r="L119" s="17">
        <f t="shared" si="82"/>
        <v>-27.1</v>
      </c>
      <c r="M119" s="17">
        <f t="shared" si="82"/>
        <v>-58.2</v>
      </c>
      <c r="N119" s="17">
        <f t="shared" si="82"/>
        <v>-66.400000000000006</v>
      </c>
      <c r="O119" s="17">
        <f t="shared" si="82"/>
        <v>-24.61</v>
      </c>
      <c r="P119" s="17">
        <f t="shared" si="82"/>
        <v>-35.49</v>
      </c>
      <c r="Q119" s="17">
        <f t="shared" si="82"/>
        <v>-42.46</v>
      </c>
      <c r="R119" s="17">
        <f t="shared" si="82"/>
        <v>-32.15</v>
      </c>
    </row>
    <row r="120" spans="4:18" s="7" customFormat="1" ht="14.1" customHeight="1" x14ac:dyDescent="0.25">
      <c r="D120" s="76" t="s">
        <v>465</v>
      </c>
      <c r="E120" s="26"/>
      <c r="F120" s="13"/>
      <c r="G120" s="22" t="s">
        <v>142</v>
      </c>
      <c r="H120" s="17"/>
      <c r="I120" s="17">
        <f t="shared" ref="I120:R121" si="83">I114</f>
        <v>-0.01</v>
      </c>
      <c r="J120" s="17">
        <f t="shared" si="83"/>
        <v>0</v>
      </c>
      <c r="K120" s="17">
        <f t="shared" si="83"/>
        <v>0</v>
      </c>
      <c r="L120" s="17">
        <f t="shared" si="83"/>
        <v>0</v>
      </c>
      <c r="M120" s="17">
        <f t="shared" si="83"/>
        <v>0</v>
      </c>
      <c r="N120" s="17">
        <f t="shared" si="83"/>
        <v>0</v>
      </c>
      <c r="O120" s="17">
        <f t="shared" si="83"/>
        <v>0</v>
      </c>
      <c r="P120" s="17">
        <f t="shared" si="83"/>
        <v>0</v>
      </c>
      <c r="Q120" s="17">
        <f t="shared" si="83"/>
        <v>0</v>
      </c>
      <c r="R120" s="17">
        <f t="shared" si="83"/>
        <v>-4.01</v>
      </c>
    </row>
    <row r="121" spans="4:18" s="7" customFormat="1" ht="14.1" customHeight="1" x14ac:dyDescent="0.25">
      <c r="D121" s="76" t="s">
        <v>466</v>
      </c>
      <c r="E121" s="26"/>
      <c r="F121" s="13"/>
      <c r="G121" s="22" t="s">
        <v>142</v>
      </c>
      <c r="H121" s="17"/>
      <c r="I121" s="17">
        <f t="shared" si="83"/>
        <v>-143.69</v>
      </c>
      <c r="J121" s="17">
        <f t="shared" si="83"/>
        <v>-149.5</v>
      </c>
      <c r="K121" s="17">
        <f t="shared" si="83"/>
        <v>-153</v>
      </c>
      <c r="L121" s="17">
        <f t="shared" si="83"/>
        <v>-153.19999999999999</v>
      </c>
      <c r="M121" s="17">
        <f t="shared" si="83"/>
        <v>-153.1</v>
      </c>
      <c r="N121" s="17">
        <f t="shared" si="83"/>
        <v>-159</v>
      </c>
      <c r="O121" s="17">
        <f t="shared" si="83"/>
        <v>-416.76299999999998</v>
      </c>
      <c r="P121" s="17">
        <f t="shared" si="83"/>
        <v>-407.495</v>
      </c>
      <c r="Q121" s="17">
        <f t="shared" si="83"/>
        <v>-438.47500000000002</v>
      </c>
      <c r="R121" s="17">
        <f t="shared" si="83"/>
        <v>-475.48399999999998</v>
      </c>
    </row>
    <row r="122" spans="4:18" s="7" customFormat="1" ht="14.1" customHeight="1" thickBot="1" x14ac:dyDescent="0.3">
      <c r="D122" s="76" t="s">
        <v>467</v>
      </c>
      <c r="E122" s="13"/>
      <c r="F122" s="13"/>
      <c r="G122" s="22" t="s">
        <v>142</v>
      </c>
      <c r="H122" s="13"/>
      <c r="I122" s="44">
        <v>0</v>
      </c>
      <c r="J122" s="284">
        <v>0</v>
      </c>
      <c r="K122" s="284">
        <v>-87.6</v>
      </c>
      <c r="L122" s="284">
        <v>-106.3</v>
      </c>
      <c r="M122" s="284">
        <v>-43.5</v>
      </c>
      <c r="N122" s="284">
        <v>-137.19999999999999</v>
      </c>
      <c r="O122" s="285">
        <v>-26.690999999999999</v>
      </c>
      <c r="P122" s="285">
        <v>-14.337999999999999</v>
      </c>
      <c r="Q122" s="285">
        <v>-82.852000000000004</v>
      </c>
      <c r="R122" s="285">
        <v>-33.829000000000001</v>
      </c>
    </row>
    <row r="123" spans="4:18" s="7" customFormat="1" ht="14.1" customHeight="1" thickBot="1" x14ac:dyDescent="0.3">
      <c r="D123" s="88" t="s">
        <v>413</v>
      </c>
      <c r="E123" s="89"/>
      <c r="F123" s="90"/>
      <c r="G123" s="91" t="s">
        <v>142</v>
      </c>
      <c r="H123" s="90"/>
      <c r="I123" s="289">
        <f>SUM(I118:I122)</f>
        <v>-311.44400000000002</v>
      </c>
      <c r="J123" s="289">
        <f t="shared" ref="J123:R123" si="84">SUM(J118:J122)</f>
        <v>-57.399000000000044</v>
      </c>
      <c r="K123" s="289">
        <f t="shared" si="84"/>
        <v>-100.15399999999988</v>
      </c>
      <c r="L123" s="289">
        <f t="shared" si="84"/>
        <v>-129.4919999999999</v>
      </c>
      <c r="M123" s="289">
        <f t="shared" si="84"/>
        <v>-60.239999999999867</v>
      </c>
      <c r="N123" s="289">
        <f t="shared" si="84"/>
        <v>-92.912999999999812</v>
      </c>
      <c r="O123" s="289">
        <f t="shared" si="84"/>
        <v>-186.81322555732694</v>
      </c>
      <c r="P123" s="289">
        <f t="shared" si="84"/>
        <v>-237.46298818863107</v>
      </c>
      <c r="Q123" s="289">
        <f t="shared" si="84"/>
        <v>-277.95114196775933</v>
      </c>
      <c r="R123" s="289">
        <f t="shared" si="84"/>
        <v>-184.90663657271756</v>
      </c>
    </row>
    <row r="124" spans="4:18" s="7" customFormat="1" ht="14.1" customHeight="1" x14ac:dyDescent="0.25">
      <c r="E124" s="32"/>
      <c r="G124" s="41"/>
      <c r="I124" s="291"/>
      <c r="J124" s="291"/>
      <c r="K124" s="291"/>
      <c r="L124" s="291"/>
      <c r="M124" s="291"/>
      <c r="N124" s="291"/>
      <c r="O124" s="291"/>
      <c r="P124" s="291"/>
      <c r="Q124" s="291"/>
      <c r="R124" s="291"/>
    </row>
    <row r="125" spans="4:18" s="7" customFormat="1" ht="14.1" customHeight="1" x14ac:dyDescent="0.25">
      <c r="D125" s="13" t="s">
        <v>32</v>
      </c>
      <c r="E125" s="75"/>
      <c r="F125" s="13"/>
      <c r="G125" s="22" t="s">
        <v>142</v>
      </c>
      <c r="H125" s="13"/>
      <c r="I125" s="5">
        <v>-68.531000000000006</v>
      </c>
      <c r="J125" s="5">
        <v>-80.486999999999995</v>
      </c>
      <c r="K125" s="5">
        <v>-81.055000000000007</v>
      </c>
      <c r="L125" s="5">
        <v>-94.661000000000001</v>
      </c>
      <c r="M125" s="5">
        <v>-95.075000000000003</v>
      </c>
      <c r="N125" s="5">
        <v>-107.63</v>
      </c>
      <c r="O125" s="5">
        <v>-148.66999999999999</v>
      </c>
      <c r="P125" s="5">
        <v>-190.08099999999999</v>
      </c>
      <c r="Q125" s="5">
        <v>-209.1</v>
      </c>
      <c r="R125" s="5">
        <v>-227</v>
      </c>
    </row>
    <row r="126" spans="4:18" s="7" customFormat="1" ht="14.1" customHeight="1" x14ac:dyDescent="0.25">
      <c r="D126" s="13" t="s">
        <v>468</v>
      </c>
      <c r="E126" s="75"/>
      <c r="F126" s="13"/>
      <c r="G126" s="22" t="s">
        <v>142</v>
      </c>
      <c r="H126" s="13"/>
      <c r="I126" s="5">
        <v>0</v>
      </c>
      <c r="J126" s="5">
        <v>0</v>
      </c>
      <c r="K126" s="5">
        <v>0</v>
      </c>
      <c r="L126" s="5">
        <v>0</v>
      </c>
      <c r="M126" s="5">
        <v>-38.6</v>
      </c>
      <c r="N126" s="5">
        <v>-44.3</v>
      </c>
      <c r="O126" s="5">
        <v>-48.4</v>
      </c>
      <c r="P126" s="5">
        <v>-51.2</v>
      </c>
      <c r="Q126" s="5">
        <v>-55.5</v>
      </c>
      <c r="R126" s="5">
        <v>-64.099999999999994</v>
      </c>
    </row>
    <row r="127" spans="4:18" s="7" customFormat="1" ht="14.1" customHeight="1" x14ac:dyDescent="0.25">
      <c r="D127" s="13" t="s">
        <v>34</v>
      </c>
      <c r="E127" s="75"/>
      <c r="F127" s="13"/>
      <c r="G127" s="22" t="s">
        <v>142</v>
      </c>
      <c r="H127" s="13"/>
      <c r="I127" s="5">
        <v>-160.6</v>
      </c>
      <c r="J127" s="5">
        <v>-174.1</v>
      </c>
      <c r="K127" s="5">
        <v>-180.2</v>
      </c>
      <c r="L127" s="5">
        <v>-192.3</v>
      </c>
      <c r="M127" s="5">
        <v>-196.7</v>
      </c>
      <c r="N127" s="5">
        <v>-206.7</v>
      </c>
      <c r="O127" s="5">
        <v>-543.6</v>
      </c>
      <c r="P127" s="5">
        <v>-571.29999999999995</v>
      </c>
      <c r="Q127" s="5">
        <v>-599</v>
      </c>
      <c r="R127" s="5">
        <v>-628.79999999999995</v>
      </c>
    </row>
    <row r="128" spans="4:18" s="7" customFormat="1" ht="14.1" customHeight="1" thickBot="1" x14ac:dyDescent="0.3">
      <c r="D128" s="7" t="s">
        <v>35</v>
      </c>
      <c r="E128" s="24"/>
      <c r="G128" s="58" t="s">
        <v>142</v>
      </c>
      <c r="I128" s="82">
        <v>-26</v>
      </c>
      <c r="J128" s="82">
        <v>-31.3</v>
      </c>
      <c r="K128" s="82">
        <v>-37.299999999999997</v>
      </c>
      <c r="L128" s="78">
        <v>-46.4</v>
      </c>
      <c r="M128" s="78">
        <v>-58.2</v>
      </c>
      <c r="N128" s="78">
        <v>-74.5</v>
      </c>
      <c r="O128" s="78">
        <v>-81.5</v>
      </c>
      <c r="P128" s="78">
        <v>-82.9</v>
      </c>
      <c r="Q128" s="78">
        <v>-107.2</v>
      </c>
      <c r="R128" s="78">
        <v>-148.80000000000001</v>
      </c>
    </row>
    <row r="129" spans="4:20" s="7" customFormat="1" ht="14.1" customHeight="1" thickBot="1" x14ac:dyDescent="0.3">
      <c r="D129" s="90" t="s">
        <v>181</v>
      </c>
      <c r="E129" s="93"/>
      <c r="F129" s="90"/>
      <c r="G129" s="91" t="s">
        <v>142</v>
      </c>
      <c r="H129" s="90"/>
      <c r="I129" s="92">
        <f t="shared" ref="I129:P129" si="85">+SUM(I125:I128)</f>
        <v>-255.131</v>
      </c>
      <c r="J129" s="92">
        <f t="shared" si="85"/>
        <v>-285.887</v>
      </c>
      <c r="K129" s="92">
        <f t="shared" si="85"/>
        <v>-298.55500000000001</v>
      </c>
      <c r="L129" s="92">
        <f t="shared" si="85"/>
        <v>-333.36099999999999</v>
      </c>
      <c r="M129" s="92">
        <f t="shared" si="85"/>
        <v>-388.57499999999999</v>
      </c>
      <c r="N129" s="92">
        <f t="shared" si="85"/>
        <v>-433.13</v>
      </c>
      <c r="O129" s="92">
        <f t="shared" si="85"/>
        <v>-822.17000000000007</v>
      </c>
      <c r="P129" s="92">
        <f t="shared" si="85"/>
        <v>-895.48099999999988</v>
      </c>
      <c r="Q129" s="92">
        <f>+SUM(Q125:Q128)</f>
        <v>-970.80000000000007</v>
      </c>
      <c r="R129" s="92">
        <f>+SUM(R125:R128)</f>
        <v>-1068.7</v>
      </c>
    </row>
    <row r="130" spans="4:20" s="7" customFormat="1" ht="14.1" customHeight="1" thickBot="1" x14ac:dyDescent="0.3">
      <c r="D130" s="7" t="s">
        <v>8</v>
      </c>
      <c r="E130" s="24"/>
      <c r="G130" s="41" t="s">
        <v>142</v>
      </c>
      <c r="I130" s="273">
        <f>+'Annual IS'!D13</f>
        <v>-36.01</v>
      </c>
      <c r="J130" s="273">
        <f>+'Annual IS'!E13</f>
        <v>-39.799999999999997</v>
      </c>
      <c r="K130" s="273">
        <f>+'Annual IS'!F13</f>
        <v>-49.8</v>
      </c>
      <c r="L130" s="273">
        <f>+'Annual IS'!G13</f>
        <v>-60.3</v>
      </c>
      <c r="M130" s="273">
        <f>+'Annual IS'!H13</f>
        <v>-76.8</v>
      </c>
      <c r="N130" s="273">
        <f>+'Annual IS'!I13</f>
        <v>-95.7</v>
      </c>
      <c r="O130" s="273">
        <f>+'Annual IS'!J13</f>
        <v>-70.23369694543446</v>
      </c>
      <c r="P130" s="273">
        <f>+'Annual IS'!K13</f>
        <v>-87.101531278662662</v>
      </c>
      <c r="Q130" s="273">
        <f>+'Annual IS'!L13</f>
        <v>-114.15853933736442</v>
      </c>
      <c r="R130" s="273">
        <f>+'Annual IS'!M13</f>
        <v>-125.81719842261499</v>
      </c>
    </row>
    <row r="131" spans="4:20" s="7" customFormat="1" ht="14.1" customHeight="1" thickBot="1" x14ac:dyDescent="0.3">
      <c r="D131" s="90" t="s">
        <v>182</v>
      </c>
      <c r="E131" s="93"/>
      <c r="F131" s="90"/>
      <c r="G131" s="91" t="s">
        <v>142</v>
      </c>
      <c r="H131" s="90"/>
      <c r="I131" s="92">
        <f t="shared" ref="I131:Q131" si="86">+SUM(I129:I130)</f>
        <v>-291.14100000000002</v>
      </c>
      <c r="J131" s="92">
        <f t="shared" si="86"/>
        <v>-325.68700000000001</v>
      </c>
      <c r="K131" s="92">
        <f t="shared" si="86"/>
        <v>-348.35500000000002</v>
      </c>
      <c r="L131" s="92">
        <f t="shared" si="86"/>
        <v>-393.661</v>
      </c>
      <c r="M131" s="92">
        <f t="shared" si="86"/>
        <v>-465.375</v>
      </c>
      <c r="N131" s="92">
        <f t="shared" si="86"/>
        <v>-528.83000000000004</v>
      </c>
      <c r="O131" s="92">
        <f t="shared" si="86"/>
        <v>-892.40369694543449</v>
      </c>
      <c r="P131" s="92">
        <f t="shared" si="86"/>
        <v>-982.5825312786626</v>
      </c>
      <c r="Q131" s="92">
        <f t="shared" si="86"/>
        <v>-1084.9585393373645</v>
      </c>
      <c r="R131" s="92">
        <f t="shared" ref="R131" si="87">+SUM(R129:R130)</f>
        <v>-1194.5171984226151</v>
      </c>
    </row>
    <row r="132" spans="4:20" s="7" customFormat="1" ht="14.1" customHeight="1" x14ac:dyDescent="0.25">
      <c r="D132" s="76" t="s">
        <v>465</v>
      </c>
      <c r="E132" s="32"/>
      <c r="G132" s="41" t="s">
        <v>142</v>
      </c>
      <c r="I132" s="223">
        <f>-I114</f>
        <v>0.01</v>
      </c>
      <c r="J132" s="223">
        <f t="shared" ref="J132:R132" si="88">-J114</f>
        <v>0</v>
      </c>
      <c r="K132" s="223">
        <f t="shared" si="88"/>
        <v>0</v>
      </c>
      <c r="L132" s="223">
        <f t="shared" si="88"/>
        <v>0</v>
      </c>
      <c r="M132" s="223">
        <f t="shared" si="88"/>
        <v>0</v>
      </c>
      <c r="N132" s="223">
        <f t="shared" si="88"/>
        <v>0</v>
      </c>
      <c r="O132" s="223">
        <f t="shared" si="88"/>
        <v>0</v>
      </c>
      <c r="P132" s="223">
        <f t="shared" si="88"/>
        <v>0</v>
      </c>
      <c r="Q132" s="223">
        <f t="shared" si="88"/>
        <v>0</v>
      </c>
      <c r="R132" s="223">
        <f t="shared" si="88"/>
        <v>4.01</v>
      </c>
    </row>
    <row r="133" spans="4:20" s="7" customFormat="1" ht="14.1" customHeight="1" thickBot="1" x14ac:dyDescent="0.3">
      <c r="D133" s="76" t="s">
        <v>466</v>
      </c>
      <c r="E133" s="26"/>
      <c r="F133" s="13"/>
      <c r="G133" s="22" t="s">
        <v>142</v>
      </c>
      <c r="H133" s="13"/>
      <c r="I133" s="224">
        <f>-I115</f>
        <v>143.69</v>
      </c>
      <c r="J133" s="224">
        <f t="shared" ref="J133:R133" si="89">-J115</f>
        <v>149.5</v>
      </c>
      <c r="K133" s="224">
        <f t="shared" si="89"/>
        <v>153</v>
      </c>
      <c r="L133" s="224">
        <f t="shared" si="89"/>
        <v>153.19999999999999</v>
      </c>
      <c r="M133" s="224">
        <f t="shared" si="89"/>
        <v>153.1</v>
      </c>
      <c r="N133" s="224">
        <f t="shared" si="89"/>
        <v>159</v>
      </c>
      <c r="O133" s="224">
        <f t="shared" si="89"/>
        <v>416.76299999999998</v>
      </c>
      <c r="P133" s="224">
        <f t="shared" si="89"/>
        <v>407.495</v>
      </c>
      <c r="Q133" s="224">
        <f t="shared" si="89"/>
        <v>438.47500000000002</v>
      </c>
      <c r="R133" s="224">
        <f t="shared" si="89"/>
        <v>475.48399999999998</v>
      </c>
    </row>
    <row r="134" spans="4:20" s="7" customFormat="1" ht="14.1" customHeight="1" thickBot="1" x14ac:dyDescent="0.3">
      <c r="D134" s="90" t="s">
        <v>239</v>
      </c>
      <c r="E134" s="93"/>
      <c r="F134" s="90"/>
      <c r="G134" s="91" t="s">
        <v>142</v>
      </c>
      <c r="H134" s="90"/>
      <c r="I134" s="92">
        <f t="shared" ref="I134:R134" si="90">I63</f>
        <v>-147.58900000000006</v>
      </c>
      <c r="J134" s="92">
        <f t="shared" si="90"/>
        <v>-176.55600000000004</v>
      </c>
      <c r="K134" s="92">
        <f t="shared" si="90"/>
        <v>-195.35399999999998</v>
      </c>
      <c r="L134" s="92">
        <f t="shared" si="90"/>
        <v>-240.41399999999987</v>
      </c>
      <c r="M134" s="92">
        <f t="shared" si="90"/>
        <v>-312.28599999999977</v>
      </c>
      <c r="N134" s="92">
        <f t="shared" si="90"/>
        <v>-369.86899999999969</v>
      </c>
      <c r="O134" s="92">
        <f t="shared" si="90"/>
        <v>-475.59350551302373</v>
      </c>
      <c r="P134" s="92">
        <f t="shared" si="90"/>
        <v>-574.97538317628823</v>
      </c>
      <c r="Q134" s="92">
        <f t="shared" si="90"/>
        <v>-646.58538133526588</v>
      </c>
      <c r="R134" s="92">
        <f t="shared" si="90"/>
        <v>-714.97111820260989</v>
      </c>
    </row>
    <row r="135" spans="4:20" s="7" customFormat="1" ht="14.1" customHeight="1" x14ac:dyDescent="0.25">
      <c r="E135" s="32"/>
      <c r="G135" s="41"/>
    </row>
    <row r="136" spans="4:20" s="7" customFormat="1" ht="14.1" customHeight="1" x14ac:dyDescent="0.25">
      <c r="D136" s="13" t="s">
        <v>296</v>
      </c>
      <c r="E136" s="26"/>
      <c r="F136" s="13"/>
      <c r="G136" s="22" t="s">
        <v>142</v>
      </c>
      <c r="H136" s="13"/>
      <c r="I136" s="17">
        <f t="shared" ref="I136:R136" si="91">I32</f>
        <v>-60.5</v>
      </c>
      <c r="J136" s="17">
        <f t="shared" si="91"/>
        <v>-75.7</v>
      </c>
      <c r="K136" s="17">
        <f t="shared" si="91"/>
        <v>-40.151000000000003</v>
      </c>
      <c r="L136" s="17">
        <f t="shared" si="91"/>
        <v>-47.5</v>
      </c>
      <c r="M136" s="17">
        <f t="shared" si="91"/>
        <v>-52</v>
      </c>
      <c r="N136" s="17">
        <f t="shared" si="91"/>
        <v>-51.5</v>
      </c>
      <c r="O136" s="17">
        <f t="shared" si="91"/>
        <v>-68.7</v>
      </c>
      <c r="P136" s="17">
        <f t="shared" si="91"/>
        <v>-94.1</v>
      </c>
      <c r="Q136" s="17">
        <f t="shared" si="91"/>
        <v>-117.8</v>
      </c>
      <c r="R136" s="17">
        <f t="shared" si="91"/>
        <v>-155.1</v>
      </c>
      <c r="T136" s="177"/>
    </row>
    <row r="137" spans="4:20" s="7" customFormat="1" ht="14.1" customHeight="1" x14ac:dyDescent="0.25">
      <c r="D137" s="13" t="s">
        <v>150</v>
      </c>
      <c r="E137" s="26"/>
      <c r="F137" s="13"/>
      <c r="G137" s="22" t="s">
        <v>142</v>
      </c>
      <c r="H137" s="13"/>
      <c r="I137" s="17">
        <f t="shared" ref="I137:R137" si="92">I47</f>
        <v>-193.42500000000001</v>
      </c>
      <c r="J137" s="17">
        <f t="shared" si="92"/>
        <v>-245.33799999999999</v>
      </c>
      <c r="K137" s="17">
        <f t="shared" si="92"/>
        <v>-310.40699999999998</v>
      </c>
      <c r="L137" s="17">
        <f t="shared" si="92"/>
        <v>-351.30399999999997</v>
      </c>
      <c r="M137" s="17">
        <f t="shared" si="92"/>
        <v>-422.44499999999999</v>
      </c>
      <c r="N137" s="17">
        <f t="shared" si="92"/>
        <v>-451.37400000000002</v>
      </c>
      <c r="O137" s="17">
        <f t="shared" si="92"/>
        <v>-546.44000000000005</v>
      </c>
      <c r="P137" s="17">
        <f t="shared" si="92"/>
        <v>-583.73800000000006</v>
      </c>
      <c r="Q137" s="17">
        <f t="shared" si="92"/>
        <v>-577.45699999999999</v>
      </c>
      <c r="R137" s="17">
        <f t="shared" si="92"/>
        <v>-580.452</v>
      </c>
      <c r="T137" s="177"/>
    </row>
    <row r="138" spans="4:20" s="7" customFormat="1" ht="14.1" customHeight="1" x14ac:dyDescent="0.25">
      <c r="D138" s="13" t="s">
        <v>156</v>
      </c>
      <c r="E138" s="26"/>
      <c r="F138" s="13"/>
      <c r="G138" s="22" t="s">
        <v>142</v>
      </c>
      <c r="H138" s="13"/>
      <c r="I138" s="17">
        <f t="shared" ref="I138:R138" si="93">I54</f>
        <v>0</v>
      </c>
      <c r="J138" s="17">
        <f t="shared" si="93"/>
        <v>0</v>
      </c>
      <c r="K138" s="17">
        <f t="shared" si="93"/>
        <v>0</v>
      </c>
      <c r="L138" s="17">
        <f t="shared" si="93"/>
        <v>-8.6</v>
      </c>
      <c r="M138" s="17">
        <f t="shared" si="93"/>
        <v>-8.3000000000000007</v>
      </c>
      <c r="N138" s="17">
        <f t="shared" si="93"/>
        <v>-7.8</v>
      </c>
      <c r="O138" s="17">
        <f t="shared" si="93"/>
        <v>-9.8000000000000007</v>
      </c>
      <c r="P138" s="17">
        <f t="shared" si="93"/>
        <v>-8.8000000000000007</v>
      </c>
      <c r="Q138" s="17">
        <f t="shared" si="93"/>
        <v>-17.3</v>
      </c>
      <c r="R138" s="17">
        <f t="shared" si="93"/>
        <v>-16.7</v>
      </c>
      <c r="T138" s="177"/>
    </row>
    <row r="139" spans="4:20" s="7" customFormat="1" ht="13.5" customHeight="1" thickBot="1" x14ac:dyDescent="0.3">
      <c r="D139" s="7" t="s">
        <v>298</v>
      </c>
      <c r="E139" s="32"/>
      <c r="G139" s="58" t="s">
        <v>142</v>
      </c>
      <c r="I139" s="65">
        <f t="shared" ref="I139:R139" si="94">I84</f>
        <v>0</v>
      </c>
      <c r="J139" s="65">
        <f t="shared" si="94"/>
        <v>0</v>
      </c>
      <c r="K139" s="65">
        <f t="shared" si="94"/>
        <v>-78.784000000000006</v>
      </c>
      <c r="L139" s="65">
        <f t="shared" si="94"/>
        <v>-92.7</v>
      </c>
      <c r="M139" s="65">
        <f t="shared" si="94"/>
        <v>-110.2</v>
      </c>
      <c r="N139" s="65">
        <f t="shared" si="94"/>
        <v>-124.2</v>
      </c>
      <c r="O139" s="65">
        <f t="shared" si="94"/>
        <v>-137.6</v>
      </c>
      <c r="P139" s="65">
        <f t="shared" si="94"/>
        <v>-154.4</v>
      </c>
      <c r="Q139" s="65">
        <f t="shared" si="94"/>
        <v>-155.9</v>
      </c>
      <c r="R139" s="65">
        <f t="shared" si="94"/>
        <v>-167.6</v>
      </c>
      <c r="T139" s="177"/>
    </row>
    <row r="140" spans="4:20" s="7" customFormat="1" ht="13.5" customHeight="1" thickBot="1" x14ac:dyDescent="0.3">
      <c r="D140" s="90" t="s">
        <v>194</v>
      </c>
      <c r="E140" s="89"/>
      <c r="F140" s="90"/>
      <c r="G140" s="91" t="s">
        <v>142</v>
      </c>
      <c r="H140" s="90"/>
      <c r="I140" s="92">
        <f>SUM(I136:I139)</f>
        <v>-253.92500000000001</v>
      </c>
      <c r="J140" s="92">
        <f t="shared" ref="J140:Q140" si="95">SUM(J136:J139)</f>
        <v>-321.03800000000001</v>
      </c>
      <c r="K140" s="92">
        <f t="shared" si="95"/>
        <v>-429.34199999999998</v>
      </c>
      <c r="L140" s="92">
        <f t="shared" si="95"/>
        <v>-500.10399999999998</v>
      </c>
      <c r="M140" s="92">
        <f t="shared" si="95"/>
        <v>-592.94500000000005</v>
      </c>
      <c r="N140" s="92">
        <f t="shared" si="95"/>
        <v>-634.87400000000002</v>
      </c>
      <c r="O140" s="92">
        <f t="shared" si="95"/>
        <v>-762.54000000000008</v>
      </c>
      <c r="P140" s="92">
        <f t="shared" si="95"/>
        <v>-841.03800000000001</v>
      </c>
      <c r="Q140" s="92">
        <f t="shared" si="95"/>
        <v>-868.45699999999988</v>
      </c>
      <c r="R140" s="92">
        <f t="shared" ref="R140" si="96">SUM(R136:R139)</f>
        <v>-919.85200000000009</v>
      </c>
      <c r="T140" s="177"/>
    </row>
    <row r="141" spans="4:20" s="7" customFormat="1" ht="15" customHeight="1" x14ac:dyDescent="0.25">
      <c r="E141" s="32"/>
      <c r="G141" s="41"/>
    </row>
    <row r="142" spans="4:20" s="68" customFormat="1" ht="11.1" customHeight="1" x14ac:dyDescent="0.2">
      <c r="D142" s="69" t="s">
        <v>163</v>
      </c>
      <c r="E142" s="67"/>
      <c r="G142" s="70"/>
    </row>
    <row r="143" spans="4:20" s="68" customFormat="1" ht="11.1" customHeight="1" x14ac:dyDescent="0.25">
      <c r="D143" s="71" t="s">
        <v>415</v>
      </c>
      <c r="E143" s="67"/>
      <c r="G143" s="70"/>
    </row>
    <row r="144" spans="4:20" s="68" customFormat="1" ht="11.1" customHeight="1" x14ac:dyDescent="0.25">
      <c r="D144" s="269" t="s">
        <v>420</v>
      </c>
      <c r="E144" s="67"/>
      <c r="G144" s="70"/>
    </row>
    <row r="145" spans="4:23" s="68" customFormat="1" ht="11.1" customHeight="1" x14ac:dyDescent="0.25">
      <c r="D145" s="68" t="s">
        <v>164</v>
      </c>
      <c r="E145" s="67"/>
      <c r="G145" s="70"/>
    </row>
    <row r="146" spans="4:23" s="68" customFormat="1" ht="11.1" customHeight="1" x14ac:dyDescent="0.25">
      <c r="E146" s="67"/>
      <c r="G146" s="70"/>
    </row>
    <row r="147" spans="4:23" s="68" customFormat="1" ht="11.1" customHeight="1" x14ac:dyDescent="0.2">
      <c r="D147" s="69" t="s">
        <v>92</v>
      </c>
      <c r="E147" s="67"/>
      <c r="G147" s="70"/>
    </row>
    <row r="148" spans="4:23" s="68" customFormat="1" ht="35.1" customHeight="1" x14ac:dyDescent="0.25">
      <c r="D148" s="301" t="s">
        <v>355</v>
      </c>
      <c r="E148" s="301"/>
      <c r="F148" s="301"/>
      <c r="G148" s="301"/>
      <c r="H148" s="301"/>
      <c r="I148" s="301"/>
      <c r="J148" s="301"/>
      <c r="K148" s="301"/>
      <c r="L148" s="301"/>
      <c r="M148" s="301"/>
      <c r="N148" s="301"/>
      <c r="O148" s="301"/>
      <c r="P148" s="301"/>
      <c r="Q148" s="301"/>
      <c r="R148" s="301"/>
    </row>
    <row r="149" spans="4:23" s="68" customFormat="1" ht="11.1" customHeight="1" x14ac:dyDescent="0.25">
      <c r="D149" s="68" t="s">
        <v>299</v>
      </c>
      <c r="G149" s="70"/>
    </row>
    <row r="150" spans="4:23" s="68" customFormat="1" ht="11.1" customHeight="1" x14ac:dyDescent="0.25">
      <c r="D150" s="68" t="s">
        <v>347</v>
      </c>
      <c r="G150" s="70"/>
    </row>
    <row r="151" spans="4:23" s="68" customFormat="1" ht="11.1" customHeight="1" x14ac:dyDescent="0.25">
      <c r="D151" s="68" t="s">
        <v>300</v>
      </c>
      <c r="G151" s="70"/>
      <c r="W151" s="72"/>
    </row>
    <row r="152" spans="4:23" s="68" customFormat="1" ht="11.1" customHeight="1" x14ac:dyDescent="0.25">
      <c r="D152" s="68" t="s">
        <v>448</v>
      </c>
      <c r="G152" s="70"/>
      <c r="W152" s="72"/>
    </row>
    <row r="153" spans="4:23" s="68" customFormat="1" ht="11.1" customHeight="1" x14ac:dyDescent="0.25">
      <c r="D153" s="68" t="s">
        <v>449</v>
      </c>
      <c r="G153" s="70"/>
      <c r="W153" s="72"/>
    </row>
    <row r="154" spans="4:23" s="68" customFormat="1" ht="21.75" customHeight="1" x14ac:dyDescent="0.25">
      <c r="D154" s="302" t="s">
        <v>450</v>
      </c>
      <c r="E154" s="303"/>
      <c r="F154" s="303"/>
      <c r="G154" s="303"/>
      <c r="H154" s="303"/>
      <c r="I154" s="303"/>
      <c r="J154" s="303"/>
      <c r="K154" s="303"/>
      <c r="L154" s="303"/>
      <c r="M154" s="303"/>
      <c r="N154" s="303"/>
      <c r="O154" s="303"/>
      <c r="P154" s="303"/>
      <c r="Q154" s="303"/>
      <c r="R154" s="303"/>
      <c r="W154" s="72"/>
    </row>
    <row r="155" spans="4:23" s="68" customFormat="1" ht="11.1" customHeight="1" x14ac:dyDescent="0.25">
      <c r="D155" s="68" t="s">
        <v>451</v>
      </c>
      <c r="G155" s="70"/>
      <c r="W155" s="72"/>
    </row>
    <row r="156" spans="4:23" s="68" customFormat="1" ht="24.95" customHeight="1" x14ac:dyDescent="0.25">
      <c r="D156" s="304" t="s">
        <v>452</v>
      </c>
      <c r="E156" s="305"/>
      <c r="F156" s="305"/>
      <c r="G156" s="305"/>
      <c r="H156" s="305"/>
      <c r="I156" s="305"/>
      <c r="J156" s="305"/>
      <c r="K156" s="305"/>
      <c r="L156" s="305"/>
      <c r="M156" s="305"/>
      <c r="N156" s="305"/>
      <c r="O156" s="305"/>
      <c r="P156" s="305"/>
      <c r="Q156" s="305"/>
      <c r="R156" s="305"/>
      <c r="S156" s="199"/>
      <c r="T156" s="199"/>
      <c r="U156" s="199"/>
      <c r="V156" s="199"/>
      <c r="W156" s="199"/>
    </row>
    <row r="157" spans="4:23" s="68" customFormat="1" ht="11.1" customHeight="1" x14ac:dyDescent="0.25">
      <c r="D157" s="201" t="s">
        <v>453</v>
      </c>
      <c r="G157" s="70"/>
      <c r="W157" s="72"/>
    </row>
    <row r="158" spans="4:23" s="68" customFormat="1" ht="11.1" customHeight="1" x14ac:dyDescent="0.25">
      <c r="D158" s="201" t="s">
        <v>454</v>
      </c>
      <c r="G158" s="70"/>
      <c r="W158" s="72"/>
    </row>
    <row r="159" spans="4:23" s="68" customFormat="1" ht="11.1" customHeight="1" x14ac:dyDescent="0.25">
      <c r="D159" s="301" t="s">
        <v>455</v>
      </c>
      <c r="E159" s="301"/>
      <c r="F159" s="301"/>
      <c r="G159" s="301"/>
      <c r="H159" s="301"/>
      <c r="I159" s="301"/>
      <c r="J159" s="301"/>
      <c r="K159" s="301"/>
      <c r="L159" s="301"/>
      <c r="M159" s="301"/>
      <c r="N159" s="301"/>
      <c r="O159" s="301"/>
      <c r="P159" s="301"/>
      <c r="Q159" s="301"/>
      <c r="R159" s="301"/>
      <c r="W159" s="72"/>
    </row>
    <row r="160" spans="4:23" s="68" customFormat="1" ht="11.1" customHeight="1" x14ac:dyDescent="0.25">
      <c r="D160" s="68" t="s">
        <v>456</v>
      </c>
      <c r="G160" s="70"/>
      <c r="W160" s="72"/>
    </row>
  </sheetData>
  <mergeCells count="4">
    <mergeCell ref="D148:R148"/>
    <mergeCell ref="D159:R159"/>
    <mergeCell ref="D154:R154"/>
    <mergeCell ref="D156:R156"/>
  </mergeCells>
  <pageMargins left="0.70866141732283472" right="0.70866141732283472" top="0.74803149606299213" bottom="0.74803149606299213" header="0.31496062992125984" footer="0.31496062992125984"/>
  <pageSetup paperSize="9" scale="66" fitToHeight="0" orientation="landscape" r:id="rId1"/>
  <headerFooter>
    <oddFooter>&amp;R&amp;P</oddFooter>
  </headerFooter>
  <rowBreaks count="3" manualBreakCount="3">
    <brk id="48" min="1" max="18" man="1"/>
    <brk id="74" min="1" max="18" man="1"/>
    <brk id="116" min="1" max="18" man="1"/>
  </rowBreaks>
  <ignoredErrors>
    <ignoredError sqref="I22:R22 I24:R2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N52"/>
  <sheetViews>
    <sheetView showGridLines="0" view="pageBreakPreview" zoomScaleNormal="115" zoomScaleSheetLayoutView="100" workbookViewId="0"/>
  </sheetViews>
  <sheetFormatPr defaultRowHeight="15" x14ac:dyDescent="0.25"/>
  <cols>
    <col min="1" max="1" width="2.28515625" customWidth="1"/>
    <col min="2" max="2" width="1.42578125" customWidth="1"/>
    <col min="3" max="3" width="35.7109375" customWidth="1"/>
    <col min="4" max="13" width="11.7109375" customWidth="1"/>
    <col min="14" max="14" width="1.5703125" customWidth="1"/>
  </cols>
  <sheetData>
    <row r="1" spans="3:13" ht="6.75" customHeight="1" x14ac:dyDescent="0.25"/>
    <row r="2" spans="3:13" s="3" customFormat="1" ht="15.75" x14ac:dyDescent="0.25">
      <c r="C2" s="112" t="s">
        <v>331</v>
      </c>
    </row>
    <row r="4" spans="3:13"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219"/>
      <c r="D5" s="214"/>
      <c r="E5" s="214"/>
      <c r="F5" s="214"/>
      <c r="G5" s="214"/>
      <c r="H5" s="214"/>
      <c r="I5" s="214"/>
      <c r="J5" s="214"/>
      <c r="K5" s="214"/>
      <c r="L5" s="214"/>
      <c r="M5" s="214"/>
    </row>
    <row r="6" spans="3:13" s="4" customFormat="1" ht="13.5" thickBot="1" x14ac:dyDescent="0.25">
      <c r="C6" s="113" t="s">
        <v>16</v>
      </c>
      <c r="D6" s="114">
        <v>2015</v>
      </c>
      <c r="E6" s="114">
        <v>2016</v>
      </c>
      <c r="F6" s="114">
        <v>2017</v>
      </c>
      <c r="G6" s="114">
        <v>2018</v>
      </c>
      <c r="H6" s="114">
        <v>2019</v>
      </c>
      <c r="I6" s="114">
        <v>2020</v>
      </c>
      <c r="J6" s="114">
        <v>2021</v>
      </c>
      <c r="K6" s="114">
        <v>2022</v>
      </c>
      <c r="L6" s="114">
        <v>2023</v>
      </c>
      <c r="M6" s="114">
        <v>2024</v>
      </c>
    </row>
    <row r="7" spans="3:13" ht="16.350000000000001" customHeight="1" thickTop="1" x14ac:dyDescent="0.25">
      <c r="C7" s="115" t="s">
        <v>0</v>
      </c>
      <c r="D7" s="116">
        <v>1011.8</v>
      </c>
      <c r="E7" s="116">
        <v>1184.5</v>
      </c>
      <c r="F7" s="116">
        <v>1372.4090000000001</v>
      </c>
      <c r="G7" s="116">
        <v>1612.5</v>
      </c>
      <c r="H7" s="116">
        <v>1900.7</v>
      </c>
      <c r="I7" s="116">
        <v>2138.9</v>
      </c>
      <c r="J7" s="116">
        <v>2508.8467886401836</v>
      </c>
      <c r="K7" s="116">
        <v>2827.0216981969088</v>
      </c>
      <c r="L7" s="116">
        <v>3089.9703421480008</v>
      </c>
      <c r="M7" s="116">
        <v>3408.017977575596</v>
      </c>
    </row>
    <row r="8" spans="3:13" ht="16.350000000000001" customHeight="1" x14ac:dyDescent="0.25">
      <c r="C8" s="117" t="s">
        <v>17</v>
      </c>
      <c r="D8" s="118">
        <v>-672.14400000000001</v>
      </c>
      <c r="E8" s="118">
        <v>-760.7</v>
      </c>
      <c r="F8" s="118">
        <v>-879.5</v>
      </c>
      <c r="G8" s="118">
        <v>-1036</v>
      </c>
      <c r="H8" s="118">
        <v>-1203.8</v>
      </c>
      <c r="I8" s="118">
        <v>-1290.8</v>
      </c>
      <c r="J8" s="118">
        <v>-1490.8808665671663</v>
      </c>
      <c r="K8" s="118">
        <v>-1715.4566871850382</v>
      </c>
      <c r="L8" s="118">
        <v>-1796.1483281549163</v>
      </c>
      <c r="M8" s="118">
        <v>-1911.0392724975877</v>
      </c>
    </row>
    <row r="9" spans="3:13" ht="16.350000000000001" customHeight="1" thickBot="1" x14ac:dyDescent="0.3">
      <c r="C9" s="119" t="s">
        <v>18</v>
      </c>
      <c r="D9" s="120">
        <v>0</v>
      </c>
      <c r="E9" s="120">
        <v>0</v>
      </c>
      <c r="F9" s="120">
        <v>7.5</v>
      </c>
      <c r="G9" s="120">
        <v>7</v>
      </c>
      <c r="H9" s="120">
        <v>6</v>
      </c>
      <c r="I9" s="120">
        <v>5.0999999999999996</v>
      </c>
      <c r="J9" s="120">
        <v>5.2631014037074966</v>
      </c>
      <c r="K9" s="120">
        <v>4.7567846936803502</v>
      </c>
      <c r="L9" s="120">
        <v>4.2771016950202805</v>
      </c>
      <c r="M9" s="120">
        <v>4.913476715376043</v>
      </c>
    </row>
    <row r="10" spans="3:13" ht="16.350000000000001" customHeight="1" x14ac:dyDescent="0.25">
      <c r="C10" s="121" t="s">
        <v>185</v>
      </c>
      <c r="D10" s="122">
        <v>339.65600000000001</v>
      </c>
      <c r="E10" s="122">
        <f>E7+E8</f>
        <v>423.79999999999995</v>
      </c>
      <c r="F10" s="122">
        <v>500.40900000000011</v>
      </c>
      <c r="G10" s="122">
        <v>583.5</v>
      </c>
      <c r="H10" s="122">
        <v>702.9</v>
      </c>
      <c r="I10" s="122">
        <v>853.1</v>
      </c>
      <c r="J10" s="122">
        <v>1023.2290234767246</v>
      </c>
      <c r="K10" s="122">
        <v>1116.321795705551</v>
      </c>
      <c r="L10" s="122">
        <v>1298.0991156881048</v>
      </c>
      <c r="M10" s="122">
        <v>1501.8921817933845</v>
      </c>
    </row>
    <row r="11" spans="3:13" ht="16.350000000000001" customHeight="1" x14ac:dyDescent="0.25">
      <c r="C11" s="117" t="s">
        <v>290</v>
      </c>
      <c r="D11" s="123">
        <v>0.33600000000000002</v>
      </c>
      <c r="E11" s="123">
        <v>0.36499999999999999</v>
      </c>
      <c r="F11" s="123">
        <v>0.36499999999999999</v>
      </c>
      <c r="G11" s="123">
        <v>0.36199999999999999</v>
      </c>
      <c r="H11" s="123">
        <v>0.37</v>
      </c>
      <c r="I11" s="123">
        <v>0.39900000000000002</v>
      </c>
      <c r="J11" s="123">
        <v>0.40784835013034954</v>
      </c>
      <c r="K11" s="123">
        <v>0.39487556689697417</v>
      </c>
      <c r="L11" s="123">
        <v>0.42010083332571013</v>
      </c>
      <c r="M11" s="123">
        <v>0.44069373802476364</v>
      </c>
    </row>
    <row r="12" spans="3:13" ht="16.350000000000001" customHeight="1" x14ac:dyDescent="0.25">
      <c r="C12" s="117" t="s">
        <v>20</v>
      </c>
      <c r="D12" s="124">
        <v>-255.19</v>
      </c>
      <c r="E12" s="124">
        <v>-285.89999999999998</v>
      </c>
      <c r="F12" s="124">
        <v>-298.5</v>
      </c>
      <c r="G12" s="124">
        <v>-333.3</v>
      </c>
      <c r="H12" s="124">
        <v>-388.6</v>
      </c>
      <c r="I12" s="124">
        <v>-433.2</v>
      </c>
      <c r="J12" s="124">
        <v>-822.12552898974832</v>
      </c>
      <c r="K12" s="124">
        <v>-895.37017888183937</v>
      </c>
      <c r="L12" s="124">
        <v>-970.90449702337094</v>
      </c>
      <c r="M12" s="124">
        <v>-1068.6492999959942</v>
      </c>
    </row>
    <row r="13" spans="3:13" ht="16.350000000000001" customHeight="1" thickBot="1" x14ac:dyDescent="0.3">
      <c r="C13" s="125" t="s">
        <v>8</v>
      </c>
      <c r="D13" s="126">
        <v>-36.01</v>
      </c>
      <c r="E13" s="126">
        <v>-39.799999999999997</v>
      </c>
      <c r="F13" s="126">
        <v>-49.8</v>
      </c>
      <c r="G13" s="126">
        <v>-60.3</v>
      </c>
      <c r="H13" s="126">
        <v>-76.8</v>
      </c>
      <c r="I13" s="126">
        <v>-95.7</v>
      </c>
      <c r="J13" s="126">
        <v>-70.23369694543446</v>
      </c>
      <c r="K13" s="126">
        <v>-87.101531278662662</v>
      </c>
      <c r="L13" s="126">
        <v>-114.15853933736442</v>
      </c>
      <c r="M13" s="126">
        <v>-125.81719842261499</v>
      </c>
    </row>
    <row r="14" spans="3:13" ht="16.350000000000001" customHeight="1" x14ac:dyDescent="0.25">
      <c r="C14" s="127" t="s">
        <v>217</v>
      </c>
      <c r="D14" s="128">
        <v>48.454999999999998</v>
      </c>
      <c r="E14" s="128">
        <v>98.1</v>
      </c>
      <c r="F14" s="128">
        <v>152.10900000000009</v>
      </c>
      <c r="G14" s="128">
        <v>190</v>
      </c>
      <c r="H14" s="128">
        <v>237.5</v>
      </c>
      <c r="I14" s="128">
        <v>324.2</v>
      </c>
      <c r="J14" s="128">
        <v>130.86979754154186</v>
      </c>
      <c r="K14" s="128">
        <v>133.85033554504892</v>
      </c>
      <c r="L14" s="128">
        <v>213.03607932736958</v>
      </c>
      <c r="M14" s="128">
        <v>307.42568337477513</v>
      </c>
    </row>
    <row r="15" spans="3:13" ht="16.350000000000001" customHeight="1" x14ac:dyDescent="0.25">
      <c r="C15" s="117" t="s">
        <v>218</v>
      </c>
      <c r="D15" s="123">
        <v>4.8000000000000001E-2</v>
      </c>
      <c r="E15" s="123">
        <v>8.3000000000000004E-2</v>
      </c>
      <c r="F15" s="123">
        <v>0.111</v>
      </c>
      <c r="G15" s="123">
        <v>0.11799999999999999</v>
      </c>
      <c r="H15" s="123">
        <v>0.125</v>
      </c>
      <c r="I15" s="123">
        <v>0.152</v>
      </c>
      <c r="J15" s="123">
        <v>5.2163327842141533E-2</v>
      </c>
      <c r="K15" s="123">
        <v>4.7346766255957448E-2</v>
      </c>
      <c r="L15" s="123">
        <v>6.8944376721517986E-2</v>
      </c>
      <c r="M15" s="123">
        <v>9.020659086824194E-2</v>
      </c>
    </row>
    <row r="16" spans="3:13" ht="16.350000000000001" customHeight="1" x14ac:dyDescent="0.25">
      <c r="C16" s="117" t="s">
        <v>21</v>
      </c>
      <c r="D16" s="118">
        <v>-215.9</v>
      </c>
      <c r="E16" s="118">
        <v>-173.8</v>
      </c>
      <c r="F16" s="118">
        <v>-155</v>
      </c>
      <c r="G16" s="118">
        <v>-153.69999999999999</v>
      </c>
      <c r="H16" s="118">
        <v>-205.5</v>
      </c>
      <c r="I16" s="118">
        <v>-231.4</v>
      </c>
      <c r="J16" s="124">
        <v>-284.22892117892832</v>
      </c>
      <c r="K16" s="118">
        <v>-316.81136678062768</v>
      </c>
      <c r="L16" s="118">
        <v>-450.01505188312473</v>
      </c>
      <c r="M16" s="118">
        <v>-469.92303733462836</v>
      </c>
    </row>
    <row r="17" spans="3:13" ht="16.350000000000001" customHeight="1" thickBot="1" x14ac:dyDescent="0.3">
      <c r="C17" s="119" t="s">
        <v>22</v>
      </c>
      <c r="D17" s="120">
        <v>-149</v>
      </c>
      <c r="E17" s="120">
        <v>32.9</v>
      </c>
      <c r="F17" s="120">
        <v>-100.1</v>
      </c>
      <c r="G17" s="120">
        <v>-140.30000000000001</v>
      </c>
      <c r="H17" s="120">
        <v>-46.5</v>
      </c>
      <c r="I17" s="120">
        <v>-140.5</v>
      </c>
      <c r="J17" s="181">
        <v>-32.874798865374899</v>
      </c>
      <c r="K17" s="120">
        <v>-19.965238231715098</v>
      </c>
      <c r="L17" s="120">
        <v>-83.6587087493685</v>
      </c>
      <c r="M17" s="120">
        <v>-25.601481035479299</v>
      </c>
    </row>
    <row r="18" spans="3:13" ht="16.350000000000001" customHeight="1" x14ac:dyDescent="0.25">
      <c r="C18" s="129" t="s">
        <v>58</v>
      </c>
      <c r="D18" s="130">
        <v>-316.38600000000002</v>
      </c>
      <c r="E18" s="130">
        <v>-42.8</v>
      </c>
      <c r="F18" s="130">
        <v>-102.9909999999999</v>
      </c>
      <c r="G18" s="130">
        <v>-103.9</v>
      </c>
      <c r="H18" s="130">
        <v>-14.5</v>
      </c>
      <c r="I18" s="130">
        <v>-47.6</v>
      </c>
      <c r="J18" s="130">
        <v>-186.23392250276137</v>
      </c>
      <c r="K18" s="130">
        <v>-202.92626946729388</v>
      </c>
      <c r="L18" s="130">
        <v>-320.63768130512369</v>
      </c>
      <c r="M18" s="130">
        <v>-188.09883499533251</v>
      </c>
    </row>
    <row r="19" spans="3:13" ht="16.350000000000001" customHeight="1" thickBot="1" x14ac:dyDescent="0.3">
      <c r="C19" s="117" t="s">
        <v>414</v>
      </c>
      <c r="D19" s="118">
        <v>5</v>
      </c>
      <c r="E19" s="118">
        <v>-14.599</v>
      </c>
      <c r="F19" s="118">
        <v>2.8460000000000001</v>
      </c>
      <c r="G19" s="118">
        <v>-25.391999999999999</v>
      </c>
      <c r="H19" s="118">
        <v>-45.74</v>
      </c>
      <c r="I19" s="118">
        <v>-45.313000000000002</v>
      </c>
      <c r="J19" s="124">
        <v>-0.57899999999999996</v>
      </c>
      <c r="K19" s="118">
        <v>-34.536000000000001</v>
      </c>
      <c r="L19" s="118">
        <v>42.686999999999998</v>
      </c>
      <c r="M19" s="118">
        <v>3.1920000000000002</v>
      </c>
    </row>
    <row r="20" spans="3:13" ht="16.350000000000001" customHeight="1" x14ac:dyDescent="0.25">
      <c r="C20" s="129" t="s">
        <v>413</v>
      </c>
      <c r="D20" s="130">
        <v>-311.38600000000002</v>
      </c>
      <c r="E20" s="130">
        <v>-57.399000000000001</v>
      </c>
      <c r="F20" s="130">
        <v>-100.1449999999999</v>
      </c>
      <c r="G20" s="130">
        <v>-129.292</v>
      </c>
      <c r="H20" s="130">
        <v>-60.24</v>
      </c>
      <c r="I20" s="130">
        <v>-92.913000000000011</v>
      </c>
      <c r="J20" s="130">
        <v>-186.81292250276138</v>
      </c>
      <c r="K20" s="130">
        <v>-237.46226946729388</v>
      </c>
      <c r="L20" s="130">
        <v>-277.95068130512368</v>
      </c>
      <c r="M20" s="130">
        <v>-184.9068349953325</v>
      </c>
    </row>
    <row r="21" spans="3:13" ht="16.350000000000001" customHeight="1" x14ac:dyDescent="0.25">
      <c r="D21" s="253"/>
      <c r="E21" s="253"/>
      <c r="F21" s="253"/>
      <c r="G21" s="283"/>
      <c r="H21" s="253"/>
      <c r="I21" s="253"/>
      <c r="J21" s="253"/>
      <c r="K21" s="253"/>
      <c r="L21" s="253"/>
      <c r="M21" s="253"/>
    </row>
    <row r="22" spans="3:13" ht="15.75" x14ac:dyDescent="0.25">
      <c r="C22" s="112" t="s">
        <v>346</v>
      </c>
    </row>
    <row r="24" spans="3:13" ht="15.75" thickBot="1" x14ac:dyDescent="0.3">
      <c r="C24" s="113" t="s">
        <v>16</v>
      </c>
      <c r="D24" s="114">
        <v>2015</v>
      </c>
      <c r="E24" s="114">
        <v>2016</v>
      </c>
      <c r="F24" s="114">
        <v>2017</v>
      </c>
      <c r="G24" s="114">
        <v>2018</v>
      </c>
      <c r="H24" s="114">
        <v>2019</v>
      </c>
      <c r="I24" s="114">
        <v>2020</v>
      </c>
      <c r="J24" s="114">
        <v>2021</v>
      </c>
      <c r="K24" s="114">
        <v>2022</v>
      </c>
      <c r="L24" s="114">
        <v>2023</v>
      </c>
      <c r="M24" s="114">
        <v>2024</v>
      </c>
    </row>
    <row r="25" spans="3:13" ht="16.350000000000001" customHeight="1" thickTop="1" x14ac:dyDescent="0.25">
      <c r="C25" s="115" t="s">
        <v>0</v>
      </c>
      <c r="D25" s="116">
        <v>1011.8</v>
      </c>
      <c r="E25" s="116">
        <v>1184.5</v>
      </c>
      <c r="F25" s="116">
        <v>1372.4</v>
      </c>
      <c r="G25" s="116">
        <v>1612.5</v>
      </c>
      <c r="H25" s="116">
        <v>1900.7</v>
      </c>
      <c r="I25" s="116">
        <v>2138.9</v>
      </c>
      <c r="J25" s="116">
        <v>2508.8467886401836</v>
      </c>
      <c r="K25" s="116">
        <v>2827.0216981969088</v>
      </c>
      <c r="L25" s="116">
        <v>3089.9703421480008</v>
      </c>
      <c r="M25" s="116">
        <v>3408.017977575596</v>
      </c>
    </row>
    <row r="26" spans="3:13" ht="16.350000000000001" customHeight="1" x14ac:dyDescent="0.25">
      <c r="C26" s="117" t="s">
        <v>17</v>
      </c>
      <c r="D26" s="118">
        <v>-672.14400000000001</v>
      </c>
      <c r="E26" s="118">
        <v>-760.7</v>
      </c>
      <c r="F26" s="118">
        <v>-879.5</v>
      </c>
      <c r="G26" s="118">
        <v>-1036</v>
      </c>
      <c r="H26" s="118">
        <v>-1203.8</v>
      </c>
      <c r="I26" s="118">
        <v>-1290.8</v>
      </c>
      <c r="J26" s="118">
        <v>-1490.8808665671663</v>
      </c>
      <c r="K26" s="118">
        <v>-1715.4566871850382</v>
      </c>
      <c r="L26" s="118">
        <v>-1796.1483281549163</v>
      </c>
      <c r="M26" s="118">
        <v>-1911.0392724975877</v>
      </c>
    </row>
    <row r="27" spans="3:13" ht="16.350000000000001" customHeight="1" x14ac:dyDescent="0.25">
      <c r="C27" s="117" t="s">
        <v>333</v>
      </c>
      <c r="D27" s="118">
        <v>21.14</v>
      </c>
      <c r="E27" s="118">
        <v>28.7</v>
      </c>
      <c r="F27" s="118">
        <f>34.8+22.3</f>
        <v>57.099999999999994</v>
      </c>
      <c r="G27" s="118">
        <v>27.1</v>
      </c>
      <c r="H27" s="118">
        <v>58.2</v>
      </c>
      <c r="I27" s="118">
        <v>66.400000000000006</v>
      </c>
      <c r="J27" s="118">
        <v>24.61</v>
      </c>
      <c r="K27" s="118">
        <v>35.49</v>
      </c>
      <c r="L27" s="118">
        <v>42.46</v>
      </c>
      <c r="M27" s="118">
        <v>32.15</v>
      </c>
    </row>
    <row r="28" spans="3:13" ht="16.350000000000001" customHeight="1" thickBot="1" x14ac:dyDescent="0.3">
      <c r="C28" s="119" t="s">
        <v>18</v>
      </c>
      <c r="D28" s="120">
        <v>0</v>
      </c>
      <c r="E28" s="120">
        <v>0</v>
      </c>
      <c r="F28" s="120">
        <v>7.5</v>
      </c>
      <c r="G28" s="120">
        <v>7</v>
      </c>
      <c r="H28" s="120">
        <v>6</v>
      </c>
      <c r="I28" s="120">
        <v>5.0999999999999996</v>
      </c>
      <c r="J28" s="120">
        <v>5.2631014037074966</v>
      </c>
      <c r="K28" s="120">
        <v>4.7567846936803502</v>
      </c>
      <c r="L28" s="120">
        <v>4.2771016950202805</v>
      </c>
      <c r="M28" s="120">
        <v>4.9134767153760404</v>
      </c>
    </row>
    <row r="29" spans="3:13" ht="16.350000000000001" customHeight="1" x14ac:dyDescent="0.25">
      <c r="C29" s="121" t="s">
        <v>1</v>
      </c>
      <c r="D29" s="122">
        <f>+SUM(D25:D28)</f>
        <v>360.79599999999994</v>
      </c>
      <c r="E29" s="122">
        <f t="shared" ref="E29:M29" si="0">+SUM(E25:E28)</f>
        <v>452.49999999999994</v>
      </c>
      <c r="F29" s="122">
        <v>557.50000000000011</v>
      </c>
      <c r="G29" s="122">
        <f t="shared" si="0"/>
        <v>610.6</v>
      </c>
      <c r="H29" s="122">
        <f t="shared" si="0"/>
        <v>761.10000000000014</v>
      </c>
      <c r="I29" s="122">
        <f t="shared" si="0"/>
        <v>919.60000000000014</v>
      </c>
      <c r="J29" s="122">
        <f t="shared" si="0"/>
        <v>1047.8390234767246</v>
      </c>
      <c r="K29" s="122">
        <f t="shared" si="0"/>
        <v>1151.811795705551</v>
      </c>
      <c r="L29" s="122">
        <f t="shared" si="0"/>
        <v>1340.5591156881048</v>
      </c>
      <c r="M29" s="122">
        <f t="shared" si="0"/>
        <v>1534.0421817933843</v>
      </c>
    </row>
    <row r="30" spans="3:13" ht="16.350000000000001" customHeight="1" x14ac:dyDescent="0.25">
      <c r="C30" s="117" t="s">
        <v>19</v>
      </c>
      <c r="D30" s="123">
        <f t="shared" ref="D30:L30" si="1">+ROUND(D29/D$25,3)</f>
        <v>0.35699999999999998</v>
      </c>
      <c r="E30" s="123">
        <f t="shared" si="1"/>
        <v>0.38200000000000001</v>
      </c>
      <c r="F30" s="123">
        <v>0.40600000000000003</v>
      </c>
      <c r="G30" s="123">
        <f t="shared" si="1"/>
        <v>0.379</v>
      </c>
      <c r="H30" s="123">
        <f t="shared" si="1"/>
        <v>0.4</v>
      </c>
      <c r="I30" s="123">
        <f t="shared" si="1"/>
        <v>0.43</v>
      </c>
      <c r="J30" s="123">
        <f t="shared" si="1"/>
        <v>0.41799999999999998</v>
      </c>
      <c r="K30" s="123">
        <f t="shared" si="1"/>
        <v>0.40699999999999997</v>
      </c>
      <c r="L30" s="123">
        <f t="shared" si="1"/>
        <v>0.434</v>
      </c>
      <c r="M30" s="123">
        <f t="shared" ref="M30" si="2">+ROUND(M29/M$25,3)</f>
        <v>0.45</v>
      </c>
    </row>
    <row r="31" spans="3:13" ht="16.350000000000001" customHeight="1" x14ac:dyDescent="0.25">
      <c r="C31" s="117" t="s">
        <v>20</v>
      </c>
      <c r="D31" s="124">
        <v>-111.5</v>
      </c>
      <c r="E31" s="124">
        <v>-136.4</v>
      </c>
      <c r="F31" s="124">
        <v>-145.5</v>
      </c>
      <c r="G31" s="124">
        <v>-180.1</v>
      </c>
      <c r="H31" s="124">
        <v>-235.5</v>
      </c>
      <c r="I31" s="124">
        <v>-274.2</v>
      </c>
      <c r="J31" s="124">
        <v>-405.36252898974834</v>
      </c>
      <c r="K31" s="124">
        <v>-487.87517888183936</v>
      </c>
      <c r="L31" s="124">
        <v>-532.42949702337091</v>
      </c>
      <c r="M31" s="124">
        <v>-593.16529999599425</v>
      </c>
    </row>
    <row r="32" spans="3:13" ht="16.350000000000001" customHeight="1" thickBot="1" x14ac:dyDescent="0.3">
      <c r="C32" s="125" t="s">
        <v>8</v>
      </c>
      <c r="D32" s="126">
        <v>-36</v>
      </c>
      <c r="E32" s="126">
        <v>-39.799999999999997</v>
      </c>
      <c r="F32" s="126">
        <v>-49.8</v>
      </c>
      <c r="G32" s="126">
        <v>-60.3</v>
      </c>
      <c r="H32" s="126">
        <v>-76.8</v>
      </c>
      <c r="I32" s="126">
        <v>-95.7</v>
      </c>
      <c r="J32" s="126">
        <v>-70.233999999999995</v>
      </c>
      <c r="K32" s="126">
        <v>-87.102000000000004</v>
      </c>
      <c r="L32" s="126">
        <v>-114.15900000000001</v>
      </c>
      <c r="M32" s="126">
        <v>-121.807</v>
      </c>
    </row>
    <row r="33" spans="3:13" ht="16.350000000000001" customHeight="1" x14ac:dyDescent="0.25">
      <c r="C33" s="250" t="s">
        <v>242</v>
      </c>
      <c r="D33" s="251">
        <f>+D29+SUM(D31:D32)</f>
        <v>213.29599999999994</v>
      </c>
      <c r="E33" s="251">
        <f t="shared" ref="E33:M33" si="3">+E29+SUM(E31:E32)</f>
        <v>276.29999999999995</v>
      </c>
      <c r="F33" s="251">
        <v>362.2000000000001</v>
      </c>
      <c r="G33" s="251">
        <f t="shared" si="3"/>
        <v>370.20000000000005</v>
      </c>
      <c r="H33" s="251">
        <f t="shared" si="3"/>
        <v>448.80000000000013</v>
      </c>
      <c r="I33" s="251">
        <f t="shared" si="3"/>
        <v>549.70000000000016</v>
      </c>
      <c r="J33" s="251">
        <f t="shared" si="3"/>
        <v>572.24249448697628</v>
      </c>
      <c r="K33" s="251">
        <f t="shared" si="3"/>
        <v>576.83461682371171</v>
      </c>
      <c r="L33" s="251">
        <f t="shared" si="3"/>
        <v>693.97061866473393</v>
      </c>
      <c r="M33" s="251">
        <f t="shared" si="3"/>
        <v>819.06988179739005</v>
      </c>
    </row>
    <row r="34" spans="3:13" ht="16.350000000000001" customHeight="1" x14ac:dyDescent="0.25">
      <c r="C34" s="117" t="s">
        <v>332</v>
      </c>
      <c r="D34" s="123">
        <f>+ROUND(D33/D$25,3)</f>
        <v>0.21099999999999999</v>
      </c>
      <c r="E34" s="123">
        <f t="shared" ref="E34:M34" si="4">+ROUND(E33/E$25,3)</f>
        <v>0.23300000000000001</v>
      </c>
      <c r="F34" s="123">
        <v>0.26400000000000001</v>
      </c>
      <c r="G34" s="123">
        <f t="shared" si="4"/>
        <v>0.23</v>
      </c>
      <c r="H34" s="123">
        <f t="shared" si="4"/>
        <v>0.23599999999999999</v>
      </c>
      <c r="I34" s="123">
        <f t="shared" si="4"/>
        <v>0.25700000000000001</v>
      </c>
      <c r="J34" s="123">
        <f t="shared" si="4"/>
        <v>0.22800000000000001</v>
      </c>
      <c r="K34" s="123">
        <f t="shared" si="4"/>
        <v>0.20399999999999999</v>
      </c>
      <c r="L34" s="123">
        <f t="shared" si="4"/>
        <v>0.22500000000000001</v>
      </c>
      <c r="M34" s="123">
        <f t="shared" si="4"/>
        <v>0.24</v>
      </c>
    </row>
    <row r="35" spans="3:13" ht="16.350000000000001" customHeight="1" x14ac:dyDescent="0.25">
      <c r="C35" s="76" t="s">
        <v>334</v>
      </c>
      <c r="D35" s="124">
        <v>-21.14</v>
      </c>
      <c r="E35" s="124">
        <v>-28.7</v>
      </c>
      <c r="F35" s="124">
        <v>-57.099999999999994</v>
      </c>
      <c r="G35" s="124">
        <v>-27.1</v>
      </c>
      <c r="H35" s="124">
        <v>-58.2</v>
      </c>
      <c r="I35" s="124">
        <v>-66.400000000000006</v>
      </c>
      <c r="J35" s="124">
        <v>-24.61</v>
      </c>
      <c r="K35" s="124">
        <v>-35.49</v>
      </c>
      <c r="L35" s="124">
        <v>-42.46</v>
      </c>
      <c r="M35" s="124">
        <v>-32.15</v>
      </c>
    </row>
    <row r="36" spans="3:13" ht="16.350000000000001" customHeight="1" x14ac:dyDescent="0.25">
      <c r="C36" s="76" t="s">
        <v>335</v>
      </c>
      <c r="D36" s="118">
        <v>-0.01</v>
      </c>
      <c r="E36" s="118">
        <v>0</v>
      </c>
      <c r="F36" s="118">
        <v>0</v>
      </c>
      <c r="G36" s="118">
        <v>0</v>
      </c>
      <c r="H36" s="118">
        <v>0</v>
      </c>
      <c r="I36" s="118">
        <v>0</v>
      </c>
      <c r="J36" s="118">
        <v>0</v>
      </c>
      <c r="K36" s="118">
        <v>0</v>
      </c>
      <c r="L36" s="118">
        <v>0</v>
      </c>
      <c r="M36" s="118">
        <v>-4.01</v>
      </c>
    </row>
    <row r="37" spans="3:13" ht="16.350000000000001" customHeight="1" thickBot="1" x14ac:dyDescent="0.3">
      <c r="C37" s="117" t="s">
        <v>336</v>
      </c>
      <c r="D37" s="118">
        <v>-143.69</v>
      </c>
      <c r="E37" s="118">
        <v>-149.5</v>
      </c>
      <c r="F37" s="267">
        <v>-153</v>
      </c>
      <c r="G37" s="118">
        <v>-153.19999999999999</v>
      </c>
      <c r="H37" s="118">
        <v>-153.1</v>
      </c>
      <c r="I37" s="118">
        <v>-159</v>
      </c>
      <c r="J37" s="118">
        <v>-416.76299999999998</v>
      </c>
      <c r="K37" s="118">
        <v>-407.495</v>
      </c>
      <c r="L37" s="118">
        <v>-438.47500000000002</v>
      </c>
      <c r="M37" s="118">
        <v>-475.48399999999998</v>
      </c>
    </row>
    <row r="38" spans="3:13" ht="16.350000000000001" customHeight="1" x14ac:dyDescent="0.25">
      <c r="C38" s="127" t="s">
        <v>217</v>
      </c>
      <c r="D38" s="128">
        <f>+ROUND(D33+SUM(D35:D37),3)</f>
        <v>48.456000000000003</v>
      </c>
      <c r="E38" s="128">
        <f t="shared" ref="E38:M38" si="5">+ROUND(E33+SUM(E35:E37),3)</f>
        <v>98.1</v>
      </c>
      <c r="F38" s="128">
        <v>152.1</v>
      </c>
      <c r="G38" s="128">
        <f t="shared" si="5"/>
        <v>189.9</v>
      </c>
      <c r="H38" s="128">
        <f>+ROUND(H33+SUM(H35:H37),3)</f>
        <v>237.5</v>
      </c>
      <c r="I38" s="128">
        <f t="shared" si="5"/>
        <v>324.3</v>
      </c>
      <c r="J38" s="128">
        <f t="shared" si="5"/>
        <v>130.869</v>
      </c>
      <c r="K38" s="128">
        <f t="shared" si="5"/>
        <v>133.85</v>
      </c>
      <c r="L38" s="128">
        <f t="shared" si="5"/>
        <v>213.036</v>
      </c>
      <c r="M38" s="128">
        <f t="shared" si="5"/>
        <v>307.42599999999999</v>
      </c>
    </row>
    <row r="39" spans="3:13" ht="16.350000000000001" customHeight="1" x14ac:dyDescent="0.25">
      <c r="C39" s="125"/>
      <c r="D39" s="254"/>
      <c r="E39" s="254"/>
      <c r="F39" s="254"/>
      <c r="G39" s="254"/>
      <c r="H39" s="254"/>
      <c r="I39" s="254"/>
      <c r="J39" s="254"/>
      <c r="K39" s="254"/>
      <c r="L39" s="254"/>
      <c r="M39" s="254"/>
    </row>
    <row r="40" spans="3:13" ht="16.350000000000001" customHeight="1" x14ac:dyDescent="0.25">
      <c r="C40" s="112" t="s">
        <v>138</v>
      </c>
    </row>
    <row r="41" spans="3:13" ht="16.350000000000001" customHeight="1" x14ac:dyDescent="0.25"/>
    <row r="42" spans="3:13" ht="16.350000000000001" customHeight="1" thickBot="1" x14ac:dyDescent="0.3">
      <c r="C42" s="255" t="s">
        <v>16</v>
      </c>
      <c r="D42" s="114">
        <v>2015</v>
      </c>
      <c r="E42" s="114">
        <v>2016</v>
      </c>
      <c r="F42" s="114">
        <v>2017</v>
      </c>
      <c r="G42" s="114">
        <v>2018</v>
      </c>
      <c r="H42" s="114">
        <v>2019</v>
      </c>
      <c r="I42" s="114">
        <v>2020</v>
      </c>
      <c r="J42" s="114">
        <v>2021</v>
      </c>
      <c r="K42" s="114">
        <v>2022</v>
      </c>
      <c r="L42" s="114">
        <v>2023</v>
      </c>
      <c r="M42" s="114">
        <v>2024</v>
      </c>
    </row>
    <row r="43" spans="3:13" ht="16.350000000000001" customHeight="1" thickTop="1" x14ac:dyDescent="0.25">
      <c r="C43" s="115" t="s">
        <v>23</v>
      </c>
      <c r="D43" s="116">
        <v>863.8</v>
      </c>
      <c r="E43" s="116">
        <v>997.4</v>
      </c>
      <c r="F43" s="116">
        <v>1158</v>
      </c>
      <c r="G43" s="116">
        <v>1329.5</v>
      </c>
      <c r="H43" s="116">
        <v>1548.9</v>
      </c>
      <c r="I43" s="116">
        <v>1740.6</v>
      </c>
      <c r="J43" s="116">
        <v>2043.7</v>
      </c>
      <c r="K43" s="116">
        <v>2358.1999999999998</v>
      </c>
      <c r="L43" s="116">
        <v>2635.3</v>
      </c>
      <c r="M43" s="116">
        <v>2947.8</v>
      </c>
    </row>
    <row r="44" spans="3:13" ht="16.350000000000001" customHeight="1" x14ac:dyDescent="0.25">
      <c r="C44" s="117" t="s">
        <v>24</v>
      </c>
      <c r="D44" s="118">
        <v>148</v>
      </c>
      <c r="E44" s="118">
        <v>187.1</v>
      </c>
      <c r="F44" s="118">
        <f>234.5-22.4</f>
        <v>212.1</v>
      </c>
      <c r="G44" s="118">
        <v>266.8</v>
      </c>
      <c r="H44" s="118">
        <v>329.1</v>
      </c>
      <c r="I44" s="118">
        <v>338.1</v>
      </c>
      <c r="J44" s="118">
        <v>373</v>
      </c>
      <c r="K44" s="118">
        <v>386</v>
      </c>
      <c r="L44" s="118">
        <v>362.3</v>
      </c>
      <c r="M44" s="118">
        <v>367.4</v>
      </c>
    </row>
    <row r="45" spans="3:13" ht="16.350000000000001" customHeight="1" thickBot="1" x14ac:dyDescent="0.3">
      <c r="C45" s="119" t="s">
        <v>7</v>
      </c>
      <c r="D45" s="120">
        <v>0</v>
      </c>
      <c r="E45" s="120">
        <v>0</v>
      </c>
      <c r="F45" s="120">
        <v>2.1829999999999998</v>
      </c>
      <c r="G45" s="120">
        <v>16.2</v>
      </c>
      <c r="H45" s="120">
        <v>22.7</v>
      </c>
      <c r="I45" s="120">
        <v>60.2</v>
      </c>
      <c r="J45" s="120">
        <v>91.7</v>
      </c>
      <c r="K45" s="120">
        <v>82.9</v>
      </c>
      <c r="L45" s="120">
        <v>92.4</v>
      </c>
      <c r="M45" s="120">
        <v>92.8</v>
      </c>
    </row>
    <row r="46" spans="3:13" ht="16.350000000000001" customHeight="1" x14ac:dyDescent="0.25">
      <c r="C46" s="129" t="s">
        <v>5</v>
      </c>
      <c r="D46" s="130">
        <v>1011.8</v>
      </c>
      <c r="E46" s="130">
        <v>1184.5</v>
      </c>
      <c r="F46" s="130">
        <f>SUM(F43:F45)</f>
        <v>1372.2829999999999</v>
      </c>
      <c r="G46" s="130">
        <v>1612.5</v>
      </c>
      <c r="H46" s="130">
        <v>1900.7</v>
      </c>
      <c r="I46" s="130">
        <v>2138.9</v>
      </c>
      <c r="J46" s="122">
        <v>2508.8000000000002</v>
      </c>
      <c r="K46" s="130">
        <v>2827</v>
      </c>
      <c r="L46" s="130">
        <v>3090</v>
      </c>
      <c r="M46" s="130">
        <v>3408</v>
      </c>
    </row>
    <row r="47" spans="3:13" x14ac:dyDescent="0.25">
      <c r="D47" s="253"/>
      <c r="E47" s="253"/>
      <c r="F47" s="253"/>
      <c r="G47" s="253"/>
      <c r="H47" s="253"/>
      <c r="I47" s="253"/>
      <c r="J47" s="253"/>
      <c r="K47" s="253"/>
      <c r="L47" s="253"/>
      <c r="M47" s="253"/>
    </row>
    <row r="48" spans="3:13" x14ac:dyDescent="0.25">
      <c r="C48" s="69" t="s">
        <v>92</v>
      </c>
      <c r="D48" s="134"/>
      <c r="E48" s="134"/>
      <c r="F48" s="134"/>
      <c r="G48" s="134"/>
      <c r="H48" s="134"/>
      <c r="I48" s="134"/>
      <c r="J48" s="134"/>
      <c r="K48" s="134"/>
      <c r="L48" s="134"/>
      <c r="M48" s="134"/>
    </row>
    <row r="49" spans="3:14" s="248" customFormat="1" ht="45" customHeight="1" x14ac:dyDescent="0.25">
      <c r="C49" s="301" t="s">
        <v>355</v>
      </c>
      <c r="D49" s="301"/>
      <c r="E49" s="301"/>
      <c r="F49" s="301"/>
      <c r="G49" s="301"/>
      <c r="H49" s="301"/>
      <c r="I49" s="301"/>
      <c r="J49" s="301"/>
      <c r="K49" s="301"/>
      <c r="L49" s="301"/>
      <c r="M49" s="301"/>
      <c r="N49" s="249"/>
    </row>
    <row r="50" spans="3:14" x14ac:dyDescent="0.25">
      <c r="C50" s="201" t="s">
        <v>421</v>
      </c>
    </row>
    <row r="51" spans="3:14" x14ac:dyDescent="0.25">
      <c r="C51" s="201" t="s">
        <v>422</v>
      </c>
      <c r="D51" s="134"/>
      <c r="E51" s="134"/>
      <c r="F51" s="134"/>
      <c r="G51" s="134"/>
      <c r="H51" s="134"/>
      <c r="I51" s="134"/>
      <c r="J51" s="134"/>
      <c r="K51" s="134"/>
      <c r="L51" s="134"/>
      <c r="M51" s="134"/>
    </row>
    <row r="52" spans="3:14" ht="24.95" customHeight="1" x14ac:dyDescent="0.25">
      <c r="C52" s="306" t="s">
        <v>423</v>
      </c>
      <c r="D52" s="306"/>
      <c r="E52" s="306"/>
      <c r="F52" s="306"/>
      <c r="G52" s="306"/>
      <c r="H52" s="306"/>
      <c r="I52" s="306"/>
      <c r="J52" s="306"/>
      <c r="K52" s="306"/>
      <c r="L52" s="306"/>
      <c r="M52" s="306"/>
    </row>
  </sheetData>
  <mergeCells count="2">
    <mergeCell ref="C49:M49"/>
    <mergeCell ref="C52:M52"/>
  </mergeCells>
  <pageMargins left="0.7" right="0.7" top="0.75" bottom="0.75" header="0.3" footer="0.3"/>
  <pageSetup paperSize="9" scale="84" fitToHeight="0" orientation="landscape" r:id="rId1"/>
  <rowBreaks count="1" manualBreakCount="1">
    <brk id="38" min="1"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R102"/>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40.7109375" customWidth="1"/>
    <col min="4" max="13" width="12.7109375" customWidth="1"/>
    <col min="14" max="14" width="1.42578125" customWidth="1"/>
  </cols>
  <sheetData>
    <row r="1" spans="3:14" ht="4.5" customHeight="1" x14ac:dyDescent="0.25"/>
    <row r="2" spans="3:14" s="3" customFormat="1" ht="15.75" x14ac:dyDescent="0.25">
      <c r="C2" s="112" t="s">
        <v>136</v>
      </c>
    </row>
    <row r="3" spans="3:14" ht="17.25"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219"/>
      <c r="D5" s="214"/>
      <c r="E5" s="214"/>
      <c r="F5" s="214"/>
      <c r="G5" s="214"/>
      <c r="H5" s="214"/>
      <c r="I5" s="214"/>
      <c r="J5" s="214"/>
      <c r="K5" s="214"/>
      <c r="L5" s="214"/>
      <c r="M5" s="214"/>
    </row>
    <row r="6" spans="3:14" s="4" customFormat="1" ht="13.5" thickBot="1" x14ac:dyDescent="0.25">
      <c r="C6" s="113" t="s">
        <v>30</v>
      </c>
      <c r="D6" s="114">
        <v>2015</v>
      </c>
      <c r="E6" s="114">
        <v>2016</v>
      </c>
      <c r="F6" s="114">
        <v>2017</v>
      </c>
      <c r="G6" s="114">
        <v>2018</v>
      </c>
      <c r="H6" s="114">
        <v>2019</v>
      </c>
      <c r="I6" s="114">
        <v>2020</v>
      </c>
      <c r="J6" s="114">
        <v>2021</v>
      </c>
      <c r="K6" s="114">
        <v>2022</v>
      </c>
      <c r="L6" s="114">
        <v>2023</v>
      </c>
      <c r="M6" s="114">
        <v>2024</v>
      </c>
      <c r="N6" s="157"/>
    </row>
    <row r="7" spans="3:14" ht="15.75" thickTop="1" x14ac:dyDescent="0.25">
      <c r="C7" s="158" t="s">
        <v>2</v>
      </c>
      <c r="D7" s="115"/>
      <c r="E7" s="115"/>
      <c r="F7" s="115"/>
      <c r="G7" s="115"/>
      <c r="H7" s="115"/>
      <c r="I7" s="115"/>
      <c r="J7" s="115"/>
      <c r="K7" s="115"/>
      <c r="L7" s="115"/>
      <c r="M7" s="115"/>
    </row>
    <row r="8" spans="3:14" x14ac:dyDescent="0.25">
      <c r="C8" s="121" t="s">
        <v>31</v>
      </c>
      <c r="D8" s="125"/>
      <c r="E8" s="125"/>
      <c r="F8" s="125"/>
      <c r="G8" s="125"/>
      <c r="H8" s="125"/>
      <c r="I8" s="125"/>
      <c r="J8" s="125"/>
      <c r="K8" s="125"/>
      <c r="L8" s="125"/>
      <c r="M8" s="125"/>
    </row>
    <row r="9" spans="3:14" x14ac:dyDescent="0.25">
      <c r="C9" s="117" t="s">
        <v>32</v>
      </c>
      <c r="D9" s="118">
        <v>408358</v>
      </c>
      <c r="E9" s="118">
        <v>501496</v>
      </c>
      <c r="F9" s="118">
        <v>608223</v>
      </c>
      <c r="G9" s="118">
        <v>720960</v>
      </c>
      <c r="H9" s="118">
        <v>872846</v>
      </c>
      <c r="I9" s="118">
        <v>1005923</v>
      </c>
      <c r="J9" s="118">
        <v>1169952</v>
      </c>
      <c r="K9" s="118">
        <v>1316626.2128766612</v>
      </c>
      <c r="L9" s="159">
        <v>1450741.2375001856</v>
      </c>
      <c r="M9" s="159">
        <v>1574056.2388439667</v>
      </c>
    </row>
    <row r="10" spans="3:14" x14ac:dyDescent="0.25">
      <c r="C10" s="117" t="s">
        <v>33</v>
      </c>
      <c r="D10" s="118">
        <v>0</v>
      </c>
      <c r="E10" s="118">
        <v>0</v>
      </c>
      <c r="F10" s="118">
        <v>0</v>
      </c>
      <c r="G10" s="118">
        <v>0</v>
      </c>
      <c r="H10" s="118">
        <v>132899</v>
      </c>
      <c r="I10" s="118">
        <v>129112</v>
      </c>
      <c r="J10" s="118">
        <v>146864</v>
      </c>
      <c r="K10" s="118">
        <v>157254.82664946382</v>
      </c>
      <c r="L10" s="159">
        <v>159342.05857261622</v>
      </c>
      <c r="M10" s="159">
        <v>190600.0531517835</v>
      </c>
    </row>
    <row r="11" spans="3:14" x14ac:dyDescent="0.25">
      <c r="C11" s="117" t="s">
        <v>3</v>
      </c>
      <c r="D11" s="118">
        <v>861109</v>
      </c>
      <c r="E11" s="118">
        <v>872567</v>
      </c>
      <c r="F11" s="118">
        <v>869598</v>
      </c>
      <c r="G11" s="118">
        <v>868557</v>
      </c>
      <c r="H11" s="118">
        <v>884261</v>
      </c>
      <c r="I11" s="118">
        <v>866819</v>
      </c>
      <c r="J11" s="118">
        <v>7870528</v>
      </c>
      <c r="K11" s="118">
        <v>7694962.5370687628</v>
      </c>
      <c r="L11" s="159">
        <v>7651016.1873086523</v>
      </c>
      <c r="M11" s="159">
        <v>7570433.9976707958</v>
      </c>
    </row>
    <row r="12" spans="3:14" x14ac:dyDescent="0.25">
      <c r="C12" s="117" t="s">
        <v>34</v>
      </c>
      <c r="D12" s="118">
        <v>1162071</v>
      </c>
      <c r="E12" s="118">
        <v>1138209</v>
      </c>
      <c r="F12" s="118">
        <v>1077129</v>
      </c>
      <c r="G12" s="118">
        <v>1034280</v>
      </c>
      <c r="H12" s="118">
        <v>1016865</v>
      </c>
      <c r="I12" s="118">
        <v>990060</v>
      </c>
      <c r="J12" s="118">
        <v>5295929</v>
      </c>
      <c r="K12" s="118">
        <v>4914527.9111012565</v>
      </c>
      <c r="L12" s="159">
        <v>4574761.9480668325</v>
      </c>
      <c r="M12" s="159">
        <v>4201469.9330549771</v>
      </c>
    </row>
    <row r="13" spans="3:14" x14ac:dyDescent="0.25">
      <c r="C13" s="117" t="s">
        <v>35</v>
      </c>
      <c r="D13" s="118">
        <v>124899</v>
      </c>
      <c r="E13" s="118">
        <v>126032</v>
      </c>
      <c r="F13" s="118">
        <v>146230</v>
      </c>
      <c r="G13" s="118">
        <v>167573</v>
      </c>
      <c r="H13" s="118">
        <v>239176</v>
      </c>
      <c r="I13" s="118">
        <v>265154</v>
      </c>
      <c r="J13" s="118">
        <v>1314603</v>
      </c>
      <c r="K13" s="118">
        <v>1355849.354274994</v>
      </c>
      <c r="L13" s="159">
        <v>1378150.6553933616</v>
      </c>
      <c r="M13" s="159">
        <v>1359758.0898891843</v>
      </c>
    </row>
    <row r="14" spans="3:14" x14ac:dyDescent="0.25">
      <c r="C14" s="117" t="s">
        <v>36</v>
      </c>
      <c r="D14" s="118">
        <v>5779</v>
      </c>
      <c r="E14" s="118">
        <v>5715</v>
      </c>
      <c r="F14" s="118">
        <v>24420</v>
      </c>
      <c r="G14" s="118">
        <v>28867</v>
      </c>
      <c r="H14" s="118">
        <v>30827</v>
      </c>
      <c r="I14" s="118">
        <v>24016</v>
      </c>
      <c r="J14" s="118">
        <v>27860</v>
      </c>
      <c r="K14" s="118">
        <v>28778.451316952302</v>
      </c>
      <c r="L14" s="159">
        <v>103239.780901732</v>
      </c>
      <c r="M14" s="159">
        <v>136920.99291735102</v>
      </c>
    </row>
    <row r="15" spans="3:14" x14ac:dyDescent="0.25">
      <c r="C15" s="117" t="s">
        <v>59</v>
      </c>
      <c r="D15" s="118">
        <v>0</v>
      </c>
      <c r="E15" s="118">
        <v>0</v>
      </c>
      <c r="F15" s="118">
        <v>6062</v>
      </c>
      <c r="G15" s="118">
        <v>17603</v>
      </c>
      <c r="H15" s="118">
        <v>23410</v>
      </c>
      <c r="I15" s="118">
        <v>0</v>
      </c>
      <c r="J15" s="118">
        <v>0</v>
      </c>
      <c r="K15" s="118">
        <v>1363</v>
      </c>
      <c r="L15" s="159">
        <v>1716.5889999999999</v>
      </c>
      <c r="M15" s="159">
        <v>0</v>
      </c>
    </row>
    <row r="16" spans="3:14" ht="15.75" thickBot="1" x14ac:dyDescent="0.3">
      <c r="C16" s="119" t="s">
        <v>306</v>
      </c>
      <c r="D16" s="120">
        <v>252268</v>
      </c>
      <c r="E16" s="120">
        <v>256844</v>
      </c>
      <c r="F16" s="120">
        <v>1309739</v>
      </c>
      <c r="G16" s="120">
        <v>307341</v>
      </c>
      <c r="H16" s="120">
        <v>310179</v>
      </c>
      <c r="I16" s="120">
        <v>316663.12995739828</v>
      </c>
      <c r="J16" s="120">
        <v>107122.47494663656</v>
      </c>
      <c r="K16" s="120">
        <v>104542.18667945966</v>
      </c>
      <c r="L16" s="160">
        <v>176419.56557251042</v>
      </c>
      <c r="M16" s="160">
        <v>138953.11470424713</v>
      </c>
    </row>
    <row r="17" spans="3:13" x14ac:dyDescent="0.25">
      <c r="C17" s="121" t="s">
        <v>307</v>
      </c>
      <c r="D17" s="122">
        <v>2814484</v>
      </c>
      <c r="E17" s="122">
        <v>2900863</v>
      </c>
      <c r="F17" s="122">
        <v>4041401</v>
      </c>
      <c r="G17" s="122">
        <v>3145181</v>
      </c>
      <c r="H17" s="122">
        <v>3510463</v>
      </c>
      <c r="I17" s="122">
        <v>3597747.1299573984</v>
      </c>
      <c r="J17" s="122">
        <v>15932857.874946637</v>
      </c>
      <c r="K17" s="122">
        <v>15573903.479967549</v>
      </c>
      <c r="L17" s="161">
        <v>15495388.022315891</v>
      </c>
      <c r="M17" s="161">
        <v>15172192.420232277</v>
      </c>
    </row>
    <row r="18" spans="3:13" x14ac:dyDescent="0.25">
      <c r="C18" s="125"/>
      <c r="D18" s="154"/>
      <c r="E18" s="154"/>
      <c r="F18" s="154"/>
      <c r="G18" s="154"/>
      <c r="H18" s="154"/>
      <c r="I18" s="154"/>
      <c r="J18" s="154"/>
      <c r="K18" s="154"/>
      <c r="L18" s="162"/>
      <c r="M18" s="162"/>
    </row>
    <row r="19" spans="3:13" x14ac:dyDescent="0.25">
      <c r="C19" s="121" t="s">
        <v>37</v>
      </c>
      <c r="D19" s="154"/>
      <c r="E19" s="154"/>
      <c r="F19" s="154"/>
      <c r="G19" s="154"/>
      <c r="H19" s="154"/>
      <c r="I19" s="154"/>
      <c r="J19" s="154"/>
      <c r="K19" s="154"/>
      <c r="L19" s="162"/>
      <c r="M19" s="162"/>
    </row>
    <row r="20" spans="3:13" x14ac:dyDescent="0.25">
      <c r="C20" s="117" t="s">
        <v>60</v>
      </c>
      <c r="D20" s="118">
        <v>59868</v>
      </c>
      <c r="E20" s="118">
        <v>62585</v>
      </c>
      <c r="F20" s="118">
        <v>74911</v>
      </c>
      <c r="G20" s="118">
        <v>102488</v>
      </c>
      <c r="H20" s="118">
        <v>126977</v>
      </c>
      <c r="I20" s="118">
        <v>161189.91350409001</v>
      </c>
      <c r="J20" s="118">
        <v>252086</v>
      </c>
      <c r="K20" s="118">
        <v>342731.97118998837</v>
      </c>
      <c r="L20" s="159">
        <v>296442.66326245811</v>
      </c>
      <c r="M20" s="159">
        <v>316233.04957401002</v>
      </c>
    </row>
    <row r="21" spans="3:13" x14ac:dyDescent="0.25">
      <c r="C21" s="117" t="s">
        <v>308</v>
      </c>
      <c r="D21" s="118">
        <v>89682</v>
      </c>
      <c r="E21" s="118">
        <v>98686</v>
      </c>
      <c r="F21" s="118">
        <v>123255</v>
      </c>
      <c r="G21" s="118">
        <v>133620</v>
      </c>
      <c r="H21" s="118">
        <v>154075</v>
      </c>
      <c r="I21" s="118">
        <v>161873.12526539227</v>
      </c>
      <c r="J21" s="118">
        <v>166476.19670589975</v>
      </c>
      <c r="K21" s="118">
        <v>246914.19846754803</v>
      </c>
      <c r="L21" s="159">
        <v>225193.60446749112</v>
      </c>
      <c r="M21" s="159">
        <v>316340.17660323088</v>
      </c>
    </row>
    <row r="22" spans="3:13" x14ac:dyDescent="0.25">
      <c r="C22" s="117" t="s">
        <v>38</v>
      </c>
      <c r="D22" s="118">
        <v>11302</v>
      </c>
      <c r="E22" s="118">
        <v>12961</v>
      </c>
      <c r="F22" s="118">
        <v>13561</v>
      </c>
      <c r="G22" s="118">
        <v>15101</v>
      </c>
      <c r="H22" s="118">
        <v>17872</v>
      </c>
      <c r="I22" s="118">
        <v>16053.463676760901</v>
      </c>
      <c r="J22" s="118">
        <v>15896</v>
      </c>
      <c r="K22" s="118">
        <v>12433.912224519101</v>
      </c>
      <c r="L22" s="159">
        <v>11071.1528494301</v>
      </c>
      <c r="M22" s="159">
        <v>24506.326706539701</v>
      </c>
    </row>
    <row r="23" spans="3:13" x14ac:dyDescent="0.25">
      <c r="C23" s="117" t="s">
        <v>4</v>
      </c>
      <c r="D23" s="118">
        <v>210</v>
      </c>
      <c r="E23" s="118">
        <v>0</v>
      </c>
      <c r="F23" s="118">
        <v>0</v>
      </c>
      <c r="G23" s="118">
        <v>0</v>
      </c>
      <c r="H23" s="118">
        <v>4758</v>
      </c>
      <c r="I23" s="118">
        <v>1588.82</v>
      </c>
      <c r="J23" s="118">
        <v>9651</v>
      </c>
      <c r="K23" s="118">
        <v>6243.9920000000002</v>
      </c>
      <c r="L23" s="159">
        <v>140.47999999999999</v>
      </c>
      <c r="M23" s="159">
        <v>21688.966</v>
      </c>
    </row>
    <row r="24" spans="3:13" x14ac:dyDescent="0.25">
      <c r="C24" s="117" t="s">
        <v>309</v>
      </c>
      <c r="D24" s="118">
        <v>12917</v>
      </c>
      <c r="E24" s="118">
        <v>16308</v>
      </c>
      <c r="F24" s="118">
        <v>31405</v>
      </c>
      <c r="G24" s="118">
        <v>34553</v>
      </c>
      <c r="H24" s="118">
        <v>62948</v>
      </c>
      <c r="I24" s="118">
        <v>68404.5189083234</v>
      </c>
      <c r="J24" s="118">
        <v>47768.432699999998</v>
      </c>
      <c r="K24" s="118">
        <v>68561.729950394365</v>
      </c>
      <c r="L24" s="159">
        <v>68131.311443358689</v>
      </c>
      <c r="M24" s="159">
        <v>93999.732496631026</v>
      </c>
    </row>
    <row r="25" spans="3:13" x14ac:dyDescent="0.25">
      <c r="C25" s="117" t="s">
        <v>39</v>
      </c>
      <c r="D25" s="118">
        <v>17992</v>
      </c>
      <c r="E25" s="118">
        <v>20972</v>
      </c>
      <c r="F25" s="118">
        <v>28286</v>
      </c>
      <c r="G25" s="118">
        <v>10938</v>
      </c>
      <c r="H25" s="118">
        <v>15613</v>
      </c>
      <c r="I25" s="118">
        <v>40027</v>
      </c>
      <c r="J25" s="118">
        <v>35288</v>
      </c>
      <c r="K25" s="118">
        <v>42035.298918603192</v>
      </c>
      <c r="L25" s="159">
        <v>75239.156692193006</v>
      </c>
      <c r="M25" s="159">
        <v>79310.921102635795</v>
      </c>
    </row>
    <row r="26" spans="3:13" ht="15.75" thickBot="1" x14ac:dyDescent="0.3">
      <c r="C26" s="119" t="s">
        <v>40</v>
      </c>
      <c r="D26" s="120">
        <v>6356</v>
      </c>
      <c r="E26" s="120">
        <v>5985</v>
      </c>
      <c r="F26" s="120">
        <v>14245</v>
      </c>
      <c r="G26" s="120">
        <v>8613</v>
      </c>
      <c r="H26" s="120">
        <v>12770</v>
      </c>
      <c r="I26" s="120">
        <v>97940.889199133308</v>
      </c>
      <c r="J26" s="120">
        <v>24360</v>
      </c>
      <c r="K26" s="120">
        <v>43725.789712353901</v>
      </c>
      <c r="L26" s="160">
        <v>21402.568781965503</v>
      </c>
      <c r="M26" s="160">
        <v>30136.4562713575</v>
      </c>
    </row>
    <row r="27" spans="3:13" ht="15.75" thickBot="1" x14ac:dyDescent="0.3">
      <c r="C27" s="163" t="s">
        <v>310</v>
      </c>
      <c r="D27" s="164">
        <v>198327</v>
      </c>
      <c r="E27" s="164">
        <v>217497</v>
      </c>
      <c r="F27" s="164">
        <v>285663</v>
      </c>
      <c r="G27" s="164">
        <v>305313</v>
      </c>
      <c r="H27" s="164">
        <v>395014</v>
      </c>
      <c r="I27" s="164">
        <v>547078.54420509131</v>
      </c>
      <c r="J27" s="164">
        <v>551525.22940589976</v>
      </c>
      <c r="K27" s="164">
        <v>762646.89246340701</v>
      </c>
      <c r="L27" s="165">
        <v>697620.9374968966</v>
      </c>
      <c r="M27" s="165">
        <v>882215.12875440484</v>
      </c>
    </row>
    <row r="28" spans="3:13" x14ac:dyDescent="0.25">
      <c r="C28" s="129" t="s">
        <v>311</v>
      </c>
      <c r="D28" s="130">
        <v>3012811</v>
      </c>
      <c r="E28" s="130">
        <v>3118360</v>
      </c>
      <c r="F28" s="130">
        <v>4327064</v>
      </c>
      <c r="G28" s="130">
        <v>3450494</v>
      </c>
      <c r="H28" s="130">
        <v>3905477</v>
      </c>
      <c r="I28" s="130">
        <v>4144825.4237682014</v>
      </c>
      <c r="J28" s="130">
        <v>16484382.104352536</v>
      </c>
      <c r="K28" s="130">
        <v>16336550.372430958</v>
      </c>
      <c r="L28" s="166">
        <v>16193008.959812788</v>
      </c>
      <c r="M28" s="166">
        <v>16054408.048986712</v>
      </c>
    </row>
    <row r="29" spans="3:13" ht="15.75" thickBot="1" x14ac:dyDescent="0.3">
      <c r="D29" s="155"/>
      <c r="E29" s="155"/>
      <c r="F29" s="155"/>
      <c r="G29" s="155"/>
      <c r="H29" s="155"/>
      <c r="I29" s="155"/>
      <c r="J29" s="155"/>
      <c r="K29" s="155"/>
      <c r="L29" s="155"/>
      <c r="M29" s="155"/>
    </row>
    <row r="30" spans="3:13" ht="15.75" thickTop="1" x14ac:dyDescent="0.25">
      <c r="C30" s="158" t="s">
        <v>41</v>
      </c>
      <c r="D30" s="167"/>
      <c r="E30" s="167"/>
      <c r="F30" s="167"/>
      <c r="G30" s="167"/>
      <c r="H30" s="167"/>
      <c r="I30" s="167"/>
      <c r="J30" s="167"/>
      <c r="K30" s="167"/>
      <c r="L30" s="167"/>
      <c r="M30" s="167"/>
    </row>
    <row r="31" spans="3:13" x14ac:dyDescent="0.25">
      <c r="C31" s="141" t="s">
        <v>42</v>
      </c>
      <c r="D31" s="148"/>
      <c r="E31" s="148"/>
      <c r="F31" s="148"/>
      <c r="G31" s="148"/>
      <c r="H31" s="148"/>
      <c r="I31" s="148"/>
      <c r="J31" s="148"/>
      <c r="K31" s="148"/>
      <c r="L31" s="148"/>
      <c r="M31" s="148"/>
    </row>
    <row r="32" spans="3:13" x14ac:dyDescent="0.25">
      <c r="C32" s="117" t="s">
        <v>43</v>
      </c>
      <c r="D32" s="118">
        <v>56</v>
      </c>
      <c r="E32" s="118">
        <v>56</v>
      </c>
      <c r="F32" s="118">
        <v>56</v>
      </c>
      <c r="G32" s="118">
        <v>56</v>
      </c>
      <c r="H32" s="118">
        <v>56</v>
      </c>
      <c r="I32" s="118">
        <v>56</v>
      </c>
      <c r="J32" s="118">
        <v>359040</v>
      </c>
      <c r="K32" s="118">
        <v>359040</v>
      </c>
      <c r="L32" s="118">
        <v>359040</v>
      </c>
      <c r="M32" s="118">
        <v>359040</v>
      </c>
    </row>
    <row r="33" spans="3:13" x14ac:dyDescent="0.25">
      <c r="C33" s="117" t="s">
        <v>44</v>
      </c>
      <c r="D33" s="118">
        <v>569168</v>
      </c>
      <c r="E33" s="118">
        <v>569168</v>
      </c>
      <c r="F33" s="118">
        <v>569168</v>
      </c>
      <c r="G33" s="118">
        <v>624517</v>
      </c>
      <c r="H33" s="118">
        <v>624686</v>
      </c>
      <c r="I33" s="118">
        <v>624686</v>
      </c>
      <c r="J33" s="118">
        <v>6816933</v>
      </c>
      <c r="K33" s="118">
        <v>6817949</v>
      </c>
      <c r="L33" s="118">
        <v>6819872</v>
      </c>
      <c r="M33" s="118">
        <v>6800974</v>
      </c>
    </row>
    <row r="34" spans="3:13" x14ac:dyDescent="0.25">
      <c r="C34" s="117" t="s">
        <v>45</v>
      </c>
      <c r="D34" s="118">
        <v>0</v>
      </c>
      <c r="E34" s="118">
        <v>0</v>
      </c>
      <c r="F34" s="118">
        <v>0</v>
      </c>
      <c r="G34" s="118">
        <v>0</v>
      </c>
      <c r="H34" s="118">
        <v>0</v>
      </c>
      <c r="I34" s="118">
        <v>40443</v>
      </c>
      <c r="J34" s="118">
        <v>-18177</v>
      </c>
      <c r="K34" s="118">
        <v>-239076</v>
      </c>
      <c r="L34" s="118">
        <v>-286707</v>
      </c>
      <c r="M34" s="118">
        <v>-410950</v>
      </c>
    </row>
    <row r="35" spans="3:13" x14ac:dyDescent="0.25">
      <c r="C35" s="117" t="s">
        <v>46</v>
      </c>
      <c r="D35" s="118">
        <v>0</v>
      </c>
      <c r="E35" s="118">
        <v>0</v>
      </c>
      <c r="F35" s="118">
        <v>0</v>
      </c>
      <c r="G35" s="118">
        <v>0</v>
      </c>
      <c r="H35" s="118">
        <v>0</v>
      </c>
      <c r="I35" s="118">
        <v>-6182</v>
      </c>
      <c r="J35" s="118">
        <v>13846</v>
      </c>
      <c r="K35" s="118">
        <v>7031</v>
      </c>
      <c r="L35" s="118">
        <v>2945</v>
      </c>
      <c r="M35" s="118">
        <v>13430</v>
      </c>
    </row>
    <row r="36" spans="3:13" x14ac:dyDescent="0.25">
      <c r="C36" s="117" t="s">
        <v>73</v>
      </c>
      <c r="D36" s="118">
        <v>48726</v>
      </c>
      <c r="E36" s="118">
        <v>34766</v>
      </c>
      <c r="F36" s="118">
        <v>47926</v>
      </c>
      <c r="G36" s="118">
        <v>43640</v>
      </c>
      <c r="H36" s="118">
        <v>32645</v>
      </c>
      <c r="I36" s="118">
        <v>0</v>
      </c>
      <c r="J36" s="118">
        <v>0</v>
      </c>
      <c r="K36" s="118">
        <v>0</v>
      </c>
      <c r="L36" s="118">
        <v>0</v>
      </c>
      <c r="M36" s="118">
        <v>0</v>
      </c>
    </row>
    <row r="37" spans="3:13" x14ac:dyDescent="0.25">
      <c r="C37" s="117" t="s">
        <v>47</v>
      </c>
      <c r="D37" s="118">
        <v>-924614</v>
      </c>
      <c r="E37" s="118">
        <v>-1089014</v>
      </c>
      <c r="F37" s="118">
        <v>-1169176</v>
      </c>
      <c r="G37" s="118">
        <v>-2714251</v>
      </c>
      <c r="H37" s="118">
        <v>-2821173</v>
      </c>
      <c r="I37" s="118">
        <v>-2915240</v>
      </c>
      <c r="J37" s="118">
        <v>-189180</v>
      </c>
      <c r="K37" s="118">
        <v>-425129</v>
      </c>
      <c r="L37" s="118">
        <v>-704498</v>
      </c>
      <c r="M37" s="118">
        <v>-889863</v>
      </c>
    </row>
    <row r="38" spans="3:13" ht="15.75" thickBot="1" x14ac:dyDescent="0.3">
      <c r="C38" s="119" t="s">
        <v>61</v>
      </c>
      <c r="D38" s="120">
        <v>-1214</v>
      </c>
      <c r="E38" s="120">
        <v>-1846</v>
      </c>
      <c r="F38" s="120">
        <v>-1802</v>
      </c>
      <c r="G38" s="120">
        <v>-2745</v>
      </c>
      <c r="H38" s="120">
        <v>0</v>
      </c>
      <c r="I38" s="120">
        <v>0</v>
      </c>
      <c r="J38" s="120">
        <v>0</v>
      </c>
      <c r="K38" s="120">
        <v>0</v>
      </c>
      <c r="L38" s="120">
        <v>0</v>
      </c>
      <c r="M38" s="120">
        <v>0</v>
      </c>
    </row>
    <row r="39" spans="3:13" x14ac:dyDescent="0.25">
      <c r="C39" s="121" t="s">
        <v>48</v>
      </c>
      <c r="D39" s="122">
        <v>-307878</v>
      </c>
      <c r="E39" s="122">
        <v>-486869</v>
      </c>
      <c r="F39" s="122">
        <v>-553828</v>
      </c>
      <c r="G39" s="122">
        <v>-2048783</v>
      </c>
      <c r="H39" s="122">
        <v>-2163786</v>
      </c>
      <c r="I39" s="122">
        <v>-2256237</v>
      </c>
      <c r="J39" s="122">
        <v>6982462.4000000004</v>
      </c>
      <c r="K39" s="122">
        <v>6519815.4819775317</v>
      </c>
      <c r="L39" s="122">
        <v>6190651.8095634123</v>
      </c>
      <c r="M39" s="122">
        <v>5872630.8522625156</v>
      </c>
    </row>
    <row r="40" spans="3:13" x14ac:dyDescent="0.25">
      <c r="C40" s="168"/>
      <c r="D40" s="169"/>
      <c r="E40" s="169"/>
      <c r="F40" s="169"/>
      <c r="G40" s="169"/>
      <c r="H40" s="169"/>
      <c r="I40" s="169"/>
      <c r="J40" s="169"/>
      <c r="K40" s="169"/>
      <c r="L40" s="169"/>
      <c r="M40" s="169"/>
    </row>
    <row r="41" spans="3:13" x14ac:dyDescent="0.25">
      <c r="C41" s="121" t="s">
        <v>49</v>
      </c>
      <c r="D41" s="154"/>
      <c r="E41" s="154"/>
      <c r="F41" s="154"/>
      <c r="G41" s="154"/>
      <c r="H41" s="154"/>
      <c r="I41" s="154"/>
      <c r="J41" s="154"/>
      <c r="K41" s="154"/>
      <c r="L41" s="154"/>
      <c r="M41" s="154"/>
    </row>
    <row r="42" spans="3:13" x14ac:dyDescent="0.25">
      <c r="C42" s="117" t="s">
        <v>312</v>
      </c>
      <c r="D42" s="118">
        <v>2592859</v>
      </c>
      <c r="E42" s="118">
        <v>2897840</v>
      </c>
      <c r="F42" s="118">
        <v>4112790</v>
      </c>
      <c r="G42" s="118">
        <v>4573202</v>
      </c>
      <c r="H42" s="118">
        <v>4948800</v>
      </c>
      <c r="I42" s="118">
        <v>5080470.2922682595</v>
      </c>
      <c r="J42" s="118">
        <v>7078341.0572480755</v>
      </c>
      <c r="K42" s="118">
        <v>7326900.5873643365</v>
      </c>
      <c r="L42" s="159">
        <v>7414205.3854160635</v>
      </c>
      <c r="M42" s="159">
        <v>7579973.6245725257</v>
      </c>
    </row>
    <row r="43" spans="3:13" x14ac:dyDescent="0.25">
      <c r="C43" s="117" t="s">
        <v>4</v>
      </c>
      <c r="D43" s="118">
        <v>109975</v>
      </c>
      <c r="E43" s="118">
        <v>0</v>
      </c>
      <c r="F43" s="118">
        <v>0</v>
      </c>
      <c r="G43" s="118">
        <v>6398</v>
      </c>
      <c r="H43" s="118">
        <v>17720</v>
      </c>
      <c r="I43" s="118">
        <v>45509.43</v>
      </c>
      <c r="J43" s="118">
        <v>0</v>
      </c>
      <c r="K43" s="118">
        <v>4592.5600000000004</v>
      </c>
      <c r="L43" s="159">
        <v>23697.667000000001</v>
      </c>
      <c r="M43" s="159">
        <v>24876.645</v>
      </c>
    </row>
    <row r="44" spans="3:13" x14ac:dyDescent="0.25">
      <c r="C44" s="117" t="s">
        <v>313</v>
      </c>
      <c r="D44" s="118">
        <v>17102</v>
      </c>
      <c r="E44" s="118">
        <v>14715</v>
      </c>
      <c r="F44" s="118">
        <v>41795</v>
      </c>
      <c r="G44" s="118">
        <v>120310</v>
      </c>
      <c r="H44" s="118">
        <v>114571</v>
      </c>
      <c r="I44" s="118">
        <v>99705.837689138833</v>
      </c>
      <c r="J44" s="118">
        <v>65418.417698560726</v>
      </c>
      <c r="K44" s="118">
        <v>70859.200030249369</v>
      </c>
      <c r="L44" s="159">
        <v>127185.1369960692</v>
      </c>
      <c r="M44" s="159">
        <v>137032.01273781038</v>
      </c>
    </row>
    <row r="45" spans="3:13" x14ac:dyDescent="0.25">
      <c r="C45" s="117" t="s">
        <v>50</v>
      </c>
      <c r="D45" s="118">
        <v>280617</v>
      </c>
      <c r="E45" s="118">
        <v>282579</v>
      </c>
      <c r="F45" s="118">
        <v>262443</v>
      </c>
      <c r="G45" s="118">
        <v>254451</v>
      </c>
      <c r="H45" s="118">
        <v>250295</v>
      </c>
      <c r="I45" s="118">
        <v>219249.90197233701</v>
      </c>
      <c r="J45" s="118">
        <v>1306694</v>
      </c>
      <c r="K45" s="118">
        <v>1249485.8821947998</v>
      </c>
      <c r="L45" s="159">
        <v>1178357.0379025601</v>
      </c>
      <c r="M45" s="159">
        <v>1083250.4234963902</v>
      </c>
    </row>
    <row r="46" spans="3:13" ht="15.75" thickBot="1" x14ac:dyDescent="0.3">
      <c r="C46" s="119" t="s">
        <v>51</v>
      </c>
      <c r="D46" s="120">
        <v>4000</v>
      </c>
      <c r="E46" s="120">
        <v>1558</v>
      </c>
      <c r="F46" s="120">
        <v>2316</v>
      </c>
      <c r="G46" s="120">
        <v>3278</v>
      </c>
      <c r="H46" s="120">
        <v>25141</v>
      </c>
      <c r="I46" s="120">
        <v>53891.716</v>
      </c>
      <c r="J46" s="120">
        <v>22437</v>
      </c>
      <c r="K46" s="120">
        <v>16814.912</v>
      </c>
      <c r="L46" s="160">
        <v>34780.364000000001</v>
      </c>
      <c r="M46" s="160">
        <v>42099.6102348684</v>
      </c>
    </row>
    <row r="47" spans="3:13" x14ac:dyDescent="0.25">
      <c r="C47" s="121" t="s">
        <v>314</v>
      </c>
      <c r="D47" s="122">
        <v>3004553</v>
      </c>
      <c r="E47" s="122">
        <v>3196692</v>
      </c>
      <c r="F47" s="122">
        <v>4419344</v>
      </c>
      <c r="G47" s="122">
        <v>4957640</v>
      </c>
      <c r="H47" s="122">
        <v>5356527</v>
      </c>
      <c r="I47" s="122">
        <v>5498827.1299573984</v>
      </c>
      <c r="J47" s="122">
        <v>8472890.4749466367</v>
      </c>
      <c r="K47" s="122">
        <v>8668653.1415893864</v>
      </c>
      <c r="L47" s="161">
        <v>8778225.5913146939</v>
      </c>
      <c r="M47" s="161">
        <v>8867232.8160415944</v>
      </c>
    </row>
    <row r="48" spans="3:13" x14ac:dyDescent="0.25">
      <c r="C48" s="125"/>
      <c r="D48" s="154"/>
      <c r="E48" s="154"/>
      <c r="F48" s="154"/>
      <c r="G48" s="154"/>
      <c r="H48" s="154"/>
      <c r="I48" s="154"/>
      <c r="J48" s="154"/>
      <c r="K48" s="154"/>
      <c r="L48" s="162"/>
      <c r="M48" s="162"/>
    </row>
    <row r="49" spans="3:13" x14ac:dyDescent="0.25">
      <c r="C49" s="121" t="s">
        <v>52</v>
      </c>
      <c r="D49" s="154"/>
      <c r="E49" s="154"/>
      <c r="F49" s="154"/>
      <c r="G49" s="154"/>
      <c r="H49" s="154"/>
      <c r="I49" s="154"/>
      <c r="J49" s="154"/>
      <c r="K49" s="154"/>
      <c r="L49" s="162"/>
      <c r="M49" s="162"/>
    </row>
    <row r="50" spans="3:13" x14ac:dyDescent="0.25">
      <c r="C50" s="117" t="s">
        <v>53</v>
      </c>
      <c r="D50" s="118">
        <v>69176</v>
      </c>
      <c r="E50" s="118">
        <v>86005</v>
      </c>
      <c r="F50" s="118">
        <v>115846</v>
      </c>
      <c r="G50" s="118">
        <v>125237</v>
      </c>
      <c r="H50" s="118">
        <v>139086</v>
      </c>
      <c r="I50" s="118">
        <v>183115.125254371</v>
      </c>
      <c r="J50" s="118">
        <v>190682</v>
      </c>
      <c r="K50" s="118">
        <v>188663.77487108498</v>
      </c>
      <c r="L50" s="159">
        <v>171164.11906751702</v>
      </c>
      <c r="M50" s="159">
        <v>176007.50659218201</v>
      </c>
    </row>
    <row r="51" spans="3:13" x14ac:dyDescent="0.25">
      <c r="C51" s="117" t="s">
        <v>54</v>
      </c>
      <c r="D51" s="118">
        <v>12276</v>
      </c>
      <c r="E51" s="118">
        <v>14019</v>
      </c>
      <c r="F51" s="118">
        <v>16747</v>
      </c>
      <c r="G51" s="118">
        <v>19034</v>
      </c>
      <c r="H51" s="118">
        <v>25300</v>
      </c>
      <c r="I51" s="118">
        <v>47808.986294488001</v>
      </c>
      <c r="J51" s="118">
        <v>85203</v>
      </c>
      <c r="K51" s="118">
        <v>79776.831400584502</v>
      </c>
      <c r="L51" s="159">
        <v>87565.473159394911</v>
      </c>
      <c r="M51" s="159">
        <v>104181.197316387</v>
      </c>
    </row>
    <row r="52" spans="3:13" x14ac:dyDescent="0.25">
      <c r="C52" s="117" t="s">
        <v>315</v>
      </c>
      <c r="D52" s="118">
        <v>18807</v>
      </c>
      <c r="E52" s="118">
        <v>61394</v>
      </c>
      <c r="F52" s="118">
        <v>53072</v>
      </c>
      <c r="G52" s="118">
        <v>47913</v>
      </c>
      <c r="H52" s="118">
        <v>91726</v>
      </c>
      <c r="I52" s="118">
        <v>109636.10538044406</v>
      </c>
      <c r="J52" s="118">
        <v>190738.81964049424</v>
      </c>
      <c r="K52" s="118">
        <v>297042.71754802985</v>
      </c>
      <c r="L52" s="159">
        <v>337695.34866405191</v>
      </c>
      <c r="M52" s="159">
        <v>357516.81063798047</v>
      </c>
    </row>
    <row r="53" spans="3:13" x14ac:dyDescent="0.25">
      <c r="C53" s="117" t="s">
        <v>4</v>
      </c>
      <c r="D53" s="118">
        <v>4160</v>
      </c>
      <c r="E53" s="118">
        <v>2275</v>
      </c>
      <c r="F53" s="118">
        <v>222</v>
      </c>
      <c r="G53" s="118">
        <v>3746</v>
      </c>
      <c r="H53" s="118">
        <v>75</v>
      </c>
      <c r="I53" s="118">
        <v>7865.3440000000001</v>
      </c>
      <c r="J53" s="118">
        <v>30853</v>
      </c>
      <c r="K53" s="118">
        <v>5175.3440000000001</v>
      </c>
      <c r="L53" s="159">
        <v>4235.1879999999992</v>
      </c>
      <c r="M53" s="159">
        <v>29.5</v>
      </c>
    </row>
    <row r="54" spans="3:13" x14ac:dyDescent="0.25">
      <c r="C54" s="117" t="s">
        <v>316</v>
      </c>
      <c r="D54" s="118">
        <v>184671</v>
      </c>
      <c r="E54" s="118">
        <v>210639</v>
      </c>
      <c r="F54" s="118">
        <v>243364</v>
      </c>
      <c r="G54" s="118">
        <v>316135</v>
      </c>
      <c r="H54" s="118">
        <v>426594</v>
      </c>
      <c r="I54" s="118">
        <v>506716.07049804821</v>
      </c>
      <c r="J54" s="118">
        <v>492537.80976540549</v>
      </c>
      <c r="K54" s="118">
        <v>516906.85701751959</v>
      </c>
      <c r="L54" s="159">
        <v>546676.06843069545</v>
      </c>
      <c r="M54" s="159">
        <v>576754.16465268354</v>
      </c>
    </row>
    <row r="55" spans="3:13" ht="15.75" thickBot="1" x14ac:dyDescent="0.3">
      <c r="C55" s="119" t="s">
        <v>55</v>
      </c>
      <c r="D55" s="120">
        <v>27046</v>
      </c>
      <c r="E55" s="120">
        <v>34205</v>
      </c>
      <c r="F55" s="120">
        <v>32297</v>
      </c>
      <c r="G55" s="120">
        <v>29572</v>
      </c>
      <c r="H55" s="120">
        <v>29955</v>
      </c>
      <c r="I55" s="120">
        <v>47094.179265207604</v>
      </c>
      <c r="J55" s="120">
        <v>39015</v>
      </c>
      <c r="K55" s="120">
        <v>60517.156830259308</v>
      </c>
      <c r="L55" s="160">
        <v>76795.230128578201</v>
      </c>
      <c r="M55" s="160">
        <v>100055.00572628531</v>
      </c>
    </row>
    <row r="56" spans="3:13" ht="15.75" thickBot="1" x14ac:dyDescent="0.3">
      <c r="C56" s="163" t="s">
        <v>317</v>
      </c>
      <c r="D56" s="164">
        <v>316136</v>
      </c>
      <c r="E56" s="164">
        <v>408537</v>
      </c>
      <c r="F56" s="164">
        <v>461548</v>
      </c>
      <c r="G56" s="164">
        <v>541637</v>
      </c>
      <c r="H56" s="164">
        <v>712736</v>
      </c>
      <c r="I56" s="164">
        <v>902235.29381080333</v>
      </c>
      <c r="J56" s="164">
        <v>1029029.6294058998</v>
      </c>
      <c r="K56" s="164">
        <v>1148082.6816674783</v>
      </c>
      <c r="L56" s="165">
        <v>1224131.9274502376</v>
      </c>
      <c r="M56" s="165">
        <v>1314544.1849255185</v>
      </c>
    </row>
    <row r="57" spans="3:13" ht="15.75" thickBot="1" x14ac:dyDescent="0.3">
      <c r="C57" s="163" t="s">
        <v>318</v>
      </c>
      <c r="D57" s="164">
        <f>+D56+D47</f>
        <v>3320689</v>
      </c>
      <c r="E57" s="164">
        <f t="shared" ref="E57:M57" si="0">+E56+E47</f>
        <v>3605229</v>
      </c>
      <c r="F57" s="164">
        <f t="shared" si="0"/>
        <v>4880892</v>
      </c>
      <c r="G57" s="164">
        <f t="shared" si="0"/>
        <v>5499277</v>
      </c>
      <c r="H57" s="164">
        <f t="shared" si="0"/>
        <v>6069263</v>
      </c>
      <c r="I57" s="164">
        <f t="shared" si="0"/>
        <v>6401062.4237682018</v>
      </c>
      <c r="J57" s="164">
        <f t="shared" si="0"/>
        <v>9501920.1043525357</v>
      </c>
      <c r="K57" s="164">
        <f t="shared" si="0"/>
        <v>9816735.8232568651</v>
      </c>
      <c r="L57" s="165">
        <f t="shared" si="0"/>
        <v>10002357.518764932</v>
      </c>
      <c r="M57" s="165">
        <f t="shared" si="0"/>
        <v>10181777.000967113</v>
      </c>
    </row>
    <row r="58" spans="3:13" x14ac:dyDescent="0.25">
      <c r="C58" s="129" t="s">
        <v>319</v>
      </c>
      <c r="D58" s="130">
        <v>3012811</v>
      </c>
      <c r="E58" s="130">
        <v>3118360</v>
      </c>
      <c r="F58" s="130">
        <v>4327064</v>
      </c>
      <c r="G58" s="130">
        <v>3450494</v>
      </c>
      <c r="H58" s="130">
        <v>3905477</v>
      </c>
      <c r="I58" s="130">
        <v>4144825.4237682014</v>
      </c>
      <c r="J58" s="130">
        <v>16484382.004352536</v>
      </c>
      <c r="K58" s="130">
        <v>16336550.305234399</v>
      </c>
      <c r="L58" s="166">
        <v>16193009.328328343</v>
      </c>
      <c r="M58" s="166">
        <v>16054407.853229629</v>
      </c>
    </row>
    <row r="59" spans="3:13" x14ac:dyDescent="0.25">
      <c r="C59" s="121"/>
      <c r="D59" s="122"/>
      <c r="E59" s="122"/>
      <c r="F59" s="122"/>
      <c r="G59" s="122"/>
      <c r="H59" s="122"/>
      <c r="I59" s="122"/>
      <c r="J59" s="122"/>
      <c r="K59" s="122"/>
      <c r="L59" s="161"/>
      <c r="M59" s="161"/>
    </row>
    <row r="60" spans="3:13" x14ac:dyDescent="0.25">
      <c r="C60" s="179" t="s">
        <v>258</v>
      </c>
      <c r="D60" s="122"/>
      <c r="E60" s="122"/>
      <c r="F60" s="122"/>
      <c r="G60" s="122"/>
      <c r="H60" s="122"/>
      <c r="I60" s="122"/>
      <c r="J60" s="122"/>
      <c r="K60" s="122"/>
      <c r="L60" s="161"/>
      <c r="M60" s="161"/>
    </row>
    <row r="61" spans="3:13" x14ac:dyDescent="0.25">
      <c r="C61" s="125" t="s">
        <v>259</v>
      </c>
      <c r="D61" s="188">
        <v>210</v>
      </c>
      <c r="E61" s="188">
        <v>0</v>
      </c>
      <c r="F61" s="188">
        <v>4449</v>
      </c>
      <c r="G61" s="188">
        <v>17603</v>
      </c>
      <c r="H61" s="188">
        <v>28168</v>
      </c>
      <c r="I61" s="188">
        <v>1589</v>
      </c>
      <c r="J61" s="188">
        <v>9651</v>
      </c>
      <c r="K61" s="188">
        <v>6244</v>
      </c>
      <c r="L61" s="188">
        <v>137</v>
      </c>
      <c r="M61" s="188">
        <v>9127</v>
      </c>
    </row>
    <row r="62" spans="3:13" x14ac:dyDescent="0.25">
      <c r="C62" s="125" t="s">
        <v>260</v>
      </c>
      <c r="D62" s="188">
        <v>0</v>
      </c>
      <c r="E62" s="188">
        <v>0</v>
      </c>
      <c r="F62" s="188">
        <v>0</v>
      </c>
      <c r="G62" s="188">
        <v>0</v>
      </c>
      <c r="H62" s="188">
        <v>0</v>
      </c>
      <c r="I62" s="188">
        <v>0</v>
      </c>
      <c r="J62" s="188">
        <v>0</v>
      </c>
      <c r="K62" s="188">
        <v>0</v>
      </c>
      <c r="L62" s="188">
        <v>4</v>
      </c>
      <c r="M62" s="188">
        <v>0</v>
      </c>
    </row>
    <row r="63" spans="3:13" x14ac:dyDescent="0.25">
      <c r="C63" s="125" t="s">
        <v>266</v>
      </c>
      <c r="D63" s="188">
        <v>0</v>
      </c>
      <c r="E63" s="188">
        <v>0</v>
      </c>
      <c r="F63" s="188">
        <v>1613</v>
      </c>
      <c r="G63" s="188">
        <v>0</v>
      </c>
      <c r="H63" s="188">
        <v>0</v>
      </c>
      <c r="I63" s="188">
        <v>0</v>
      </c>
      <c r="J63" s="188">
        <v>0</v>
      </c>
      <c r="K63" s="188">
        <v>0</v>
      </c>
      <c r="L63" s="188">
        <v>0</v>
      </c>
      <c r="M63" s="188">
        <v>0</v>
      </c>
    </row>
    <row r="64" spans="3:13" x14ac:dyDescent="0.25">
      <c r="C64" s="125" t="s">
        <v>261</v>
      </c>
      <c r="D64" s="188">
        <v>0</v>
      </c>
      <c r="E64" s="188">
        <v>0</v>
      </c>
      <c r="F64" s="188">
        <v>0</v>
      </c>
      <c r="G64" s="188">
        <v>0</v>
      </c>
      <c r="H64" s="188">
        <v>0</v>
      </c>
      <c r="I64" s="188">
        <v>0</v>
      </c>
      <c r="J64" s="188">
        <v>0</v>
      </c>
      <c r="K64" s="188">
        <v>1363</v>
      </c>
      <c r="L64" s="188">
        <v>1717</v>
      </c>
      <c r="M64" s="188">
        <v>12562</v>
      </c>
    </row>
    <row r="65" spans="1:15" x14ac:dyDescent="0.25">
      <c r="C65" s="125" t="s">
        <v>265</v>
      </c>
      <c r="D65" s="188">
        <v>0</v>
      </c>
      <c r="E65" s="188">
        <v>0</v>
      </c>
      <c r="F65" s="188">
        <v>0</v>
      </c>
      <c r="G65" s="188">
        <v>0</v>
      </c>
      <c r="H65" s="188">
        <v>0</v>
      </c>
      <c r="I65" s="188">
        <v>0</v>
      </c>
      <c r="J65" s="188">
        <v>0</v>
      </c>
      <c r="K65" s="188">
        <v>0</v>
      </c>
      <c r="L65" s="188">
        <v>0</v>
      </c>
      <c r="M65" s="188">
        <v>0</v>
      </c>
    </row>
    <row r="66" spans="1:15" x14ac:dyDescent="0.25">
      <c r="C66" s="189" t="s">
        <v>263</v>
      </c>
      <c r="D66" s="190">
        <f>+SUM(D61:D65)</f>
        <v>210</v>
      </c>
      <c r="E66" s="190">
        <f t="shared" ref="E66:M66" si="1">+SUM(E61:E65)</f>
        <v>0</v>
      </c>
      <c r="F66" s="190">
        <f t="shared" si="1"/>
        <v>6062</v>
      </c>
      <c r="G66" s="190">
        <f t="shared" si="1"/>
        <v>17603</v>
      </c>
      <c r="H66" s="190">
        <f t="shared" si="1"/>
        <v>28168</v>
      </c>
      <c r="I66" s="190">
        <f t="shared" si="1"/>
        <v>1589</v>
      </c>
      <c r="J66" s="190">
        <f t="shared" si="1"/>
        <v>9651</v>
      </c>
      <c r="K66" s="190">
        <f t="shared" si="1"/>
        <v>7607</v>
      </c>
      <c r="L66" s="190">
        <f t="shared" si="1"/>
        <v>1858</v>
      </c>
      <c r="M66" s="190">
        <f t="shared" si="1"/>
        <v>21689</v>
      </c>
    </row>
    <row r="67" spans="1:15" x14ac:dyDescent="0.25">
      <c r="C67" s="125"/>
      <c r="D67" s="178"/>
      <c r="E67" s="178"/>
      <c r="F67" s="178"/>
      <c r="G67" s="178"/>
      <c r="H67" s="178"/>
      <c r="I67" s="162"/>
      <c r="J67" s="162"/>
      <c r="K67" s="162"/>
      <c r="L67" s="162"/>
      <c r="M67" s="162"/>
    </row>
    <row r="68" spans="1:15" x14ac:dyDescent="0.25">
      <c r="C68" s="125" t="s">
        <v>259</v>
      </c>
      <c r="D68" s="188">
        <v>4603</v>
      </c>
      <c r="E68" s="188">
        <v>2275</v>
      </c>
      <c r="F68" s="188">
        <v>222</v>
      </c>
      <c r="G68" s="188">
        <v>3746</v>
      </c>
      <c r="H68" s="188">
        <v>75</v>
      </c>
      <c r="I68" s="188">
        <v>35226</v>
      </c>
      <c r="J68" s="188">
        <v>0</v>
      </c>
      <c r="K68" s="188">
        <v>5175</v>
      </c>
      <c r="L68" s="188">
        <v>4214</v>
      </c>
      <c r="M68" s="188">
        <v>0</v>
      </c>
    </row>
    <row r="69" spans="1:15" x14ac:dyDescent="0.25">
      <c r="C69" s="125" t="s">
        <v>260</v>
      </c>
      <c r="D69" s="188">
        <v>0</v>
      </c>
      <c r="E69" s="188">
        <v>0</v>
      </c>
      <c r="F69" s="188">
        <v>0</v>
      </c>
      <c r="G69" s="188">
        <v>0</v>
      </c>
      <c r="H69" s="188">
        <v>0</v>
      </c>
      <c r="I69" s="188">
        <v>0</v>
      </c>
      <c r="J69" s="188">
        <v>3479</v>
      </c>
      <c r="K69" s="188">
        <v>0</v>
      </c>
      <c r="L69" s="188">
        <v>21</v>
      </c>
      <c r="M69" s="188">
        <v>30</v>
      </c>
    </row>
    <row r="70" spans="1:15" x14ac:dyDescent="0.25">
      <c r="C70" s="125" t="s">
        <v>266</v>
      </c>
      <c r="D70" s="188">
        <v>109532</v>
      </c>
      <c r="E70" s="188">
        <v>0</v>
      </c>
      <c r="F70" s="188">
        <v>0</v>
      </c>
      <c r="G70" s="188">
        <v>0</v>
      </c>
      <c r="H70" s="188">
        <v>0</v>
      </c>
      <c r="I70" s="188">
        <v>0</v>
      </c>
      <c r="J70" s="188">
        <v>0</v>
      </c>
      <c r="K70" s="188">
        <v>0</v>
      </c>
      <c r="L70" s="188">
        <v>0</v>
      </c>
      <c r="M70" s="188">
        <v>0</v>
      </c>
    </row>
    <row r="71" spans="1:15" x14ac:dyDescent="0.25">
      <c r="C71" s="125" t="s">
        <v>261</v>
      </c>
      <c r="D71" s="188">
        <v>0</v>
      </c>
      <c r="E71" s="188">
        <v>0</v>
      </c>
      <c r="F71" s="188">
        <v>0</v>
      </c>
      <c r="G71" s="188">
        <v>0</v>
      </c>
      <c r="H71" s="188">
        <v>0</v>
      </c>
      <c r="I71" s="188">
        <v>0</v>
      </c>
      <c r="J71" s="188">
        <v>18630</v>
      </c>
      <c r="K71" s="188">
        <v>0</v>
      </c>
      <c r="L71" s="188">
        <v>0</v>
      </c>
      <c r="M71" s="188">
        <v>0</v>
      </c>
    </row>
    <row r="72" spans="1:15" x14ac:dyDescent="0.25">
      <c r="C72" s="125" t="s">
        <v>262</v>
      </c>
      <c r="D72" s="188">
        <v>0</v>
      </c>
      <c r="E72" s="188">
        <v>0</v>
      </c>
      <c r="F72" s="188">
        <v>0</v>
      </c>
      <c r="G72" s="188">
        <v>6398</v>
      </c>
      <c r="H72" s="188">
        <v>17720</v>
      </c>
      <c r="I72" s="188">
        <v>18149</v>
      </c>
      <c r="J72" s="188">
        <v>8744</v>
      </c>
      <c r="K72" s="188">
        <v>4593</v>
      </c>
      <c r="L72" s="188">
        <v>23698</v>
      </c>
      <c r="M72" s="188">
        <v>24877</v>
      </c>
    </row>
    <row r="73" spans="1:15" x14ac:dyDescent="0.25">
      <c r="C73" s="189" t="s">
        <v>264</v>
      </c>
      <c r="D73" s="190">
        <f t="shared" ref="D73:M73" si="2">+SUM(D68:D72)</f>
        <v>114135</v>
      </c>
      <c r="E73" s="190">
        <f t="shared" si="2"/>
        <v>2275</v>
      </c>
      <c r="F73" s="190">
        <f t="shared" si="2"/>
        <v>222</v>
      </c>
      <c r="G73" s="190">
        <f t="shared" si="2"/>
        <v>10144</v>
      </c>
      <c r="H73" s="190">
        <f t="shared" si="2"/>
        <v>17795</v>
      </c>
      <c r="I73" s="190">
        <f t="shared" si="2"/>
        <v>53375</v>
      </c>
      <c r="J73" s="190">
        <f t="shared" si="2"/>
        <v>30853</v>
      </c>
      <c r="K73" s="190">
        <f t="shared" si="2"/>
        <v>9768</v>
      </c>
      <c r="L73" s="190">
        <f t="shared" si="2"/>
        <v>27933</v>
      </c>
      <c r="M73" s="190">
        <f t="shared" si="2"/>
        <v>24907</v>
      </c>
    </row>
    <row r="74" spans="1:15" x14ac:dyDescent="0.25">
      <c r="C74" s="121"/>
      <c r="D74" s="122"/>
      <c r="E74" s="122"/>
      <c r="F74" s="122"/>
      <c r="G74" s="122"/>
      <c r="H74" s="122"/>
      <c r="I74" s="122"/>
      <c r="J74" s="122"/>
      <c r="K74" s="122"/>
      <c r="L74" s="161"/>
      <c r="M74" s="161"/>
    </row>
    <row r="75" spans="1:15" x14ac:dyDescent="0.25">
      <c r="A75" s="200"/>
      <c r="B75" s="200"/>
      <c r="C75" s="258" t="s">
        <v>369</v>
      </c>
      <c r="D75" s="259"/>
      <c r="E75" s="259"/>
      <c r="F75" s="259"/>
      <c r="G75" s="259"/>
      <c r="H75" s="259"/>
      <c r="I75" s="259"/>
      <c r="J75" s="259"/>
      <c r="K75" s="259"/>
      <c r="L75" s="259"/>
      <c r="M75" s="260"/>
      <c r="N75" s="200"/>
      <c r="O75" s="200"/>
    </row>
    <row r="76" spans="1:15" x14ac:dyDescent="0.25">
      <c r="A76" s="200"/>
      <c r="B76" s="200"/>
      <c r="C76" s="257" t="s">
        <v>364</v>
      </c>
      <c r="D76" s="261"/>
      <c r="E76" s="261"/>
      <c r="F76" s="261"/>
      <c r="G76" s="261"/>
      <c r="H76" s="261"/>
      <c r="I76" s="188">
        <v>2242.2552227905544</v>
      </c>
      <c r="J76" s="188">
        <v>46335.527869784331</v>
      </c>
      <c r="K76" s="188">
        <v>87846.961025497061</v>
      </c>
      <c r="L76" s="188">
        <v>112148</v>
      </c>
      <c r="M76" s="188"/>
      <c r="N76" s="200"/>
      <c r="O76" s="200"/>
    </row>
    <row r="77" spans="1:15" x14ac:dyDescent="0.25">
      <c r="A77" s="200"/>
      <c r="B77" s="200"/>
      <c r="C77" s="257" t="s">
        <v>365</v>
      </c>
      <c r="D77" s="261"/>
      <c r="E77" s="261"/>
      <c r="F77" s="261"/>
      <c r="G77" s="261"/>
      <c r="H77" s="261"/>
      <c r="I77" s="188">
        <v>14310.397648703511</v>
      </c>
      <c r="J77" s="188">
        <v>109684.49246311549</v>
      </c>
      <c r="K77" s="188">
        <v>204764.30491236219</v>
      </c>
      <c r="L77" s="188">
        <v>307865</v>
      </c>
      <c r="M77" s="188"/>
      <c r="N77" s="200"/>
      <c r="O77" s="200"/>
    </row>
    <row r="78" spans="1:15" x14ac:dyDescent="0.25">
      <c r="A78" s="200"/>
      <c r="B78" s="200"/>
      <c r="C78" s="257" t="s">
        <v>366</v>
      </c>
      <c r="D78" s="261"/>
      <c r="E78" s="261"/>
      <c r="F78" s="261"/>
      <c r="G78" s="261"/>
      <c r="H78" s="261"/>
      <c r="I78" s="188">
        <v>-12067.610721136356</v>
      </c>
      <c r="J78" s="188">
        <v>-63347.830348902127</v>
      </c>
      <c r="K78" s="188">
        <v>-116916.47749311294</v>
      </c>
      <c r="L78" s="188">
        <v>-195717</v>
      </c>
      <c r="M78" s="188"/>
      <c r="N78" s="200"/>
      <c r="O78" s="200"/>
    </row>
    <row r="79" spans="1:15" ht="9.9499999999999993" customHeight="1" x14ac:dyDescent="0.25">
      <c r="A79" s="200"/>
      <c r="B79" s="200"/>
      <c r="C79" s="262"/>
      <c r="D79" s="259"/>
      <c r="E79" s="259"/>
      <c r="F79" s="259"/>
      <c r="G79" s="259"/>
      <c r="H79" s="259"/>
      <c r="I79" s="259"/>
      <c r="J79" s="259"/>
      <c r="K79" s="259"/>
      <c r="L79" s="259"/>
      <c r="M79" s="259"/>
      <c r="N79" s="200"/>
      <c r="O79" s="200"/>
    </row>
    <row r="80" spans="1:15" x14ac:dyDescent="0.25">
      <c r="A80" s="200"/>
      <c r="B80" s="200"/>
      <c r="C80" s="258" t="s">
        <v>234</v>
      </c>
      <c r="D80" s="259"/>
      <c r="E80" s="259"/>
      <c r="F80" s="259"/>
      <c r="G80" s="259"/>
      <c r="H80" s="259"/>
      <c r="I80" s="259"/>
      <c r="J80" s="259"/>
      <c r="K80" s="259"/>
      <c r="L80" s="259"/>
      <c r="M80" s="260"/>
      <c r="N80" s="200"/>
      <c r="O80" s="200"/>
    </row>
    <row r="81" spans="1:15" x14ac:dyDescent="0.25">
      <c r="A81" s="200"/>
      <c r="B81" s="200"/>
      <c r="C81" s="257" t="s">
        <v>363</v>
      </c>
      <c r="D81" s="261"/>
      <c r="E81" s="261"/>
      <c r="F81" s="261"/>
      <c r="G81" s="261"/>
      <c r="H81" s="261"/>
      <c r="I81" s="188">
        <v>6912.2920000000004</v>
      </c>
      <c r="J81" s="188">
        <v>48864.057000000001</v>
      </c>
      <c r="K81" s="188">
        <v>74446.051999999996</v>
      </c>
      <c r="L81" s="188">
        <v>144851.11900000001</v>
      </c>
      <c r="M81" s="188">
        <v>114101</v>
      </c>
      <c r="N81" s="200"/>
      <c r="O81" s="200"/>
    </row>
    <row r="82" spans="1:15" x14ac:dyDescent="0.25">
      <c r="A82" s="200"/>
      <c r="B82" s="200"/>
      <c r="C82" s="257" t="s">
        <v>372</v>
      </c>
      <c r="D82" s="261"/>
      <c r="E82" s="261"/>
      <c r="F82" s="261"/>
      <c r="G82" s="261"/>
      <c r="H82" s="261"/>
      <c r="I82" s="188">
        <v>7398.2830000000004</v>
      </c>
      <c r="J82" s="188">
        <v>60819.82</v>
      </c>
      <c r="K82" s="188">
        <v>130318.61900000001</v>
      </c>
      <c r="L82" s="188">
        <v>163014.15299999999</v>
      </c>
      <c r="M82" s="188">
        <v>175348</v>
      </c>
      <c r="N82" s="200"/>
      <c r="O82" s="200"/>
    </row>
    <row r="83" spans="1:15" x14ac:dyDescent="0.25">
      <c r="C83" s="189" t="s">
        <v>418</v>
      </c>
      <c r="D83" s="190"/>
      <c r="E83" s="190"/>
      <c r="F83" s="190"/>
      <c r="G83" s="190"/>
      <c r="H83" s="190"/>
      <c r="I83" s="190">
        <f>I81+I82</f>
        <v>14310.575000000001</v>
      </c>
      <c r="J83" s="190">
        <f t="shared" ref="J83:M83" si="3">J81+J82</f>
        <v>109683.87700000001</v>
      </c>
      <c r="K83" s="190">
        <f t="shared" si="3"/>
        <v>204764.671</v>
      </c>
      <c r="L83" s="190">
        <f t="shared" si="3"/>
        <v>307865.272</v>
      </c>
      <c r="M83" s="190">
        <f t="shared" si="3"/>
        <v>289449</v>
      </c>
    </row>
    <row r="84" spans="1:15" ht="9.9499999999999993" customHeight="1" x14ac:dyDescent="0.25">
      <c r="A84" s="200"/>
      <c r="B84" s="200"/>
      <c r="C84" s="257"/>
      <c r="D84" s="261"/>
      <c r="E84" s="261"/>
      <c r="F84" s="261"/>
      <c r="G84" s="261"/>
      <c r="H84" s="261"/>
      <c r="I84" s="188"/>
      <c r="J84" s="188"/>
      <c r="K84" s="188"/>
      <c r="L84" s="188"/>
      <c r="M84" s="188"/>
      <c r="N84" s="200"/>
      <c r="O84" s="200"/>
    </row>
    <row r="85" spans="1:15" x14ac:dyDescent="0.25">
      <c r="A85" s="200"/>
      <c r="B85" s="200"/>
      <c r="C85" s="263" t="s">
        <v>368</v>
      </c>
      <c r="D85" s="259"/>
      <c r="E85" s="259"/>
      <c r="F85" s="259"/>
      <c r="G85" s="259"/>
      <c r="H85" s="259"/>
      <c r="I85" s="259"/>
      <c r="J85" s="259"/>
      <c r="K85" s="259"/>
      <c r="L85" s="260"/>
      <c r="M85" s="260"/>
      <c r="N85" s="200"/>
      <c r="O85" s="200"/>
    </row>
    <row r="86" spans="1:15" x14ac:dyDescent="0.25">
      <c r="A86" s="200"/>
      <c r="B86" s="200"/>
      <c r="C86" s="257" t="s">
        <v>3</v>
      </c>
      <c r="D86" s="261">
        <v>762059</v>
      </c>
      <c r="E86" s="261">
        <v>762059</v>
      </c>
      <c r="F86" s="261">
        <v>762059</v>
      </c>
      <c r="G86" s="261">
        <v>762059</v>
      </c>
      <c r="H86" s="261">
        <v>762059</v>
      </c>
      <c r="I86" s="261">
        <v>750708</v>
      </c>
      <c r="J86" s="261">
        <f>+'Quarterly BS'!G86</f>
        <v>7753556</v>
      </c>
      <c r="K86" s="261">
        <f>+'Quarterly BS'!K86</f>
        <v>7585123.7790000001</v>
      </c>
      <c r="L86" s="261">
        <f>+'Quarterly BS'!O86</f>
        <v>7538917.142</v>
      </c>
      <c r="M86" s="261">
        <f>+'Quarterly BS'!S86</f>
        <v>7462582.7999999998</v>
      </c>
      <c r="N86" s="200"/>
      <c r="O86" s="200"/>
    </row>
    <row r="87" spans="1:15" x14ac:dyDescent="0.25">
      <c r="A87" s="200"/>
      <c r="B87" s="200"/>
      <c r="C87" s="257" t="s">
        <v>34</v>
      </c>
      <c r="D87" s="261">
        <v>898537</v>
      </c>
      <c r="E87" s="261">
        <v>764353</v>
      </c>
      <c r="F87" s="261">
        <v>630169</v>
      </c>
      <c r="G87" s="261">
        <v>495985</v>
      </c>
      <c r="H87" s="261">
        <v>361801</v>
      </c>
      <c r="I87" s="261">
        <v>227617</v>
      </c>
      <c r="J87" s="261">
        <f>+'Quarterly BS'!G87</f>
        <v>4405980.7240000004</v>
      </c>
      <c r="K87" s="261">
        <f>+'Quarterly BS'!K87</f>
        <v>3938485.2889999999</v>
      </c>
      <c r="L87" s="261">
        <f>+'Quarterly BS'!O87</f>
        <v>3505731.66</v>
      </c>
      <c r="M87" s="261">
        <f>+'Quarterly BS'!S87</f>
        <v>3037525.6540000001</v>
      </c>
      <c r="N87" s="200"/>
      <c r="O87" s="200"/>
    </row>
    <row r="88" spans="1:15" x14ac:dyDescent="0.25">
      <c r="A88" s="200"/>
      <c r="B88" s="200"/>
      <c r="C88" s="257" t="s">
        <v>35</v>
      </c>
      <c r="D88" s="261">
        <v>79666</v>
      </c>
      <c r="E88" s="261">
        <v>72666</v>
      </c>
      <c r="F88" s="261">
        <v>65666</v>
      </c>
      <c r="G88" s="261">
        <v>58674</v>
      </c>
      <c r="H88" s="261">
        <v>51682</v>
      </c>
      <c r="I88" s="261">
        <v>44666.31</v>
      </c>
      <c r="J88" s="261">
        <f>+'Quarterly BS'!G88</f>
        <v>1070105</v>
      </c>
      <c r="K88" s="261">
        <f>+'Quarterly BS'!K88</f>
        <v>1096892.2830000001</v>
      </c>
      <c r="L88" s="261">
        <f>+'Quarterly BS'!O88</f>
        <v>1069323.6170000001</v>
      </c>
      <c r="M88" s="261">
        <f>+'Quarterly BS'!S88</f>
        <v>1039529.848</v>
      </c>
      <c r="N88" s="200"/>
      <c r="O88" s="200"/>
    </row>
    <row r="89" spans="1:15" ht="9.75" customHeight="1" x14ac:dyDescent="0.25">
      <c r="A89" s="200"/>
      <c r="B89" s="200"/>
      <c r="C89" s="262"/>
      <c r="D89" s="259"/>
      <c r="E89" s="259"/>
      <c r="F89" s="259"/>
      <c r="G89" s="259"/>
      <c r="H89" s="259"/>
      <c r="I89" s="259"/>
      <c r="J89" s="259"/>
      <c r="K89" s="259"/>
      <c r="L89" s="259"/>
      <c r="M89" s="259"/>
      <c r="N89" s="200"/>
      <c r="O89" s="200"/>
    </row>
    <row r="90" spans="1:15" x14ac:dyDescent="0.25">
      <c r="A90" s="200"/>
      <c r="B90" s="200"/>
      <c r="C90" s="263" t="s">
        <v>246</v>
      </c>
      <c r="D90" s="259"/>
      <c r="E90" s="259"/>
      <c r="F90" s="259"/>
      <c r="G90" s="259"/>
      <c r="H90" s="259"/>
      <c r="I90" s="259"/>
      <c r="J90" s="259"/>
      <c r="K90" s="259"/>
      <c r="L90" s="260"/>
      <c r="M90" s="260"/>
      <c r="N90" s="200"/>
      <c r="O90" s="200"/>
    </row>
    <row r="91" spans="1:15" x14ac:dyDescent="0.25">
      <c r="A91" s="200"/>
      <c r="B91" s="200"/>
      <c r="C91" s="257" t="s">
        <v>375</v>
      </c>
      <c r="D91" s="261">
        <v>0</v>
      </c>
      <c r="E91" s="261">
        <v>0</v>
      </c>
      <c r="F91" s="261">
        <v>1036675</v>
      </c>
      <c r="G91" s="261">
        <v>0</v>
      </c>
      <c r="H91" s="261">
        <v>0</v>
      </c>
      <c r="I91" s="261">
        <v>0</v>
      </c>
      <c r="J91" s="261">
        <v>0</v>
      </c>
      <c r="K91" s="261">
        <v>0</v>
      </c>
      <c r="L91" s="261">
        <v>0</v>
      </c>
      <c r="M91" s="261">
        <v>0</v>
      </c>
      <c r="N91" s="200"/>
      <c r="O91" s="200"/>
    </row>
    <row r="92" spans="1:15" x14ac:dyDescent="0.25">
      <c r="A92" s="200"/>
      <c r="B92" s="200"/>
      <c r="C92" s="200"/>
      <c r="D92" s="200"/>
      <c r="E92" s="200"/>
      <c r="F92" s="200"/>
      <c r="G92" s="200"/>
      <c r="H92" s="200"/>
      <c r="I92" s="200"/>
      <c r="J92" s="200"/>
      <c r="K92" s="200"/>
      <c r="L92" s="200"/>
      <c r="M92" s="200"/>
      <c r="N92" s="200"/>
      <c r="O92" s="200"/>
    </row>
    <row r="93" spans="1:15" x14ac:dyDescent="0.25">
      <c r="A93" s="200"/>
      <c r="B93" s="200"/>
      <c r="C93" s="264" t="s">
        <v>92</v>
      </c>
      <c r="D93" s="265"/>
      <c r="E93" s="265"/>
      <c r="F93" s="265"/>
      <c r="G93" s="265"/>
      <c r="H93" s="265"/>
      <c r="I93" s="265"/>
      <c r="J93" s="265"/>
      <c r="K93" s="265"/>
      <c r="L93" s="265"/>
      <c r="M93" s="265"/>
      <c r="N93" s="200"/>
      <c r="O93" s="200"/>
    </row>
    <row r="94" spans="1:15" ht="45" customHeight="1" x14ac:dyDescent="0.25">
      <c r="A94" s="200"/>
      <c r="B94" s="200"/>
      <c r="C94" s="301" t="s">
        <v>355</v>
      </c>
      <c r="D94" s="301"/>
      <c r="E94" s="301"/>
      <c r="F94" s="301"/>
      <c r="G94" s="301"/>
      <c r="H94" s="301"/>
      <c r="I94" s="301"/>
      <c r="J94" s="301"/>
      <c r="K94" s="301"/>
      <c r="L94" s="301"/>
      <c r="M94" s="301"/>
    </row>
    <row r="95" spans="1:15" ht="21.95" customHeight="1" x14ac:dyDescent="0.25">
      <c r="A95" s="200"/>
      <c r="B95" s="200"/>
      <c r="C95" s="307" t="s">
        <v>424</v>
      </c>
      <c r="D95" s="307"/>
      <c r="E95" s="307"/>
      <c r="F95" s="307"/>
      <c r="G95" s="307"/>
      <c r="H95" s="307"/>
      <c r="I95" s="307"/>
      <c r="J95" s="307"/>
      <c r="K95" s="307"/>
      <c r="L95" s="307"/>
      <c r="M95" s="307"/>
    </row>
    <row r="96" spans="1:15" ht="15" customHeight="1" x14ac:dyDescent="0.25">
      <c r="A96" s="200"/>
      <c r="B96" s="200"/>
      <c r="C96" s="307" t="s">
        <v>302</v>
      </c>
      <c r="D96" s="307"/>
      <c r="E96" s="307"/>
      <c r="F96" s="307"/>
      <c r="G96" s="307"/>
      <c r="H96" s="307"/>
      <c r="I96" s="307"/>
      <c r="J96" s="307"/>
      <c r="K96" s="307"/>
      <c r="L96" s="307"/>
      <c r="M96" s="307"/>
    </row>
    <row r="97" spans="1:18" ht="15" customHeight="1" x14ac:dyDescent="0.25">
      <c r="A97" s="200"/>
      <c r="B97" s="200"/>
      <c r="C97" s="307" t="s">
        <v>303</v>
      </c>
      <c r="D97" s="307"/>
      <c r="E97" s="307"/>
      <c r="F97" s="307"/>
      <c r="G97" s="307"/>
      <c r="H97" s="307"/>
      <c r="I97" s="307"/>
      <c r="J97" s="307"/>
      <c r="K97" s="307"/>
      <c r="L97" s="307"/>
      <c r="M97" s="307"/>
      <c r="N97" s="307"/>
      <c r="O97" s="307"/>
    </row>
    <row r="98" spans="1:18" ht="15" customHeight="1" x14ac:dyDescent="0.25">
      <c r="A98" s="200"/>
      <c r="B98" s="200"/>
      <c r="C98" s="307" t="s">
        <v>304</v>
      </c>
      <c r="D98" s="307"/>
      <c r="E98" s="307"/>
      <c r="F98" s="307"/>
      <c r="G98" s="307"/>
      <c r="H98" s="307"/>
      <c r="I98" s="307"/>
      <c r="J98" s="307"/>
      <c r="K98" s="307"/>
      <c r="L98" s="307"/>
      <c r="M98" s="307"/>
    </row>
    <row r="99" spans="1:18" ht="23.1" customHeight="1" x14ac:dyDescent="0.25">
      <c r="A99" s="200"/>
      <c r="B99" s="200"/>
      <c r="C99" s="307" t="s">
        <v>305</v>
      </c>
      <c r="D99" s="307"/>
      <c r="E99" s="307"/>
      <c r="F99" s="307"/>
      <c r="G99" s="307"/>
      <c r="H99" s="307"/>
      <c r="I99" s="307"/>
      <c r="J99" s="307"/>
      <c r="K99" s="307"/>
      <c r="L99" s="307"/>
      <c r="M99" s="307"/>
      <c r="N99" s="107"/>
      <c r="O99" s="107"/>
      <c r="P99" s="192"/>
      <c r="Q99" s="192"/>
      <c r="R99" s="192"/>
    </row>
    <row r="100" spans="1:18" ht="15" customHeight="1" x14ac:dyDescent="0.25">
      <c r="A100" s="200"/>
      <c r="B100" s="200"/>
      <c r="C100" s="307" t="s">
        <v>361</v>
      </c>
      <c r="D100" s="307"/>
      <c r="E100" s="307"/>
      <c r="F100" s="307"/>
      <c r="G100" s="307"/>
      <c r="H100" s="307"/>
      <c r="I100" s="307"/>
      <c r="J100" s="307"/>
      <c r="K100" s="307"/>
      <c r="L100" s="307"/>
      <c r="M100" s="307"/>
      <c r="N100" s="107"/>
      <c r="O100" s="107"/>
    </row>
    <row r="101" spans="1:18" ht="15" customHeight="1" x14ac:dyDescent="0.25">
      <c r="A101" s="200"/>
      <c r="B101" s="200"/>
      <c r="C101" s="307" t="s">
        <v>371</v>
      </c>
      <c r="D101" s="307"/>
      <c r="E101" s="307"/>
      <c r="F101" s="307"/>
      <c r="G101" s="307"/>
      <c r="H101" s="307"/>
      <c r="I101" s="307"/>
      <c r="J101" s="307"/>
      <c r="K101" s="307"/>
      <c r="L101" s="307"/>
      <c r="M101" s="307"/>
      <c r="N101" s="107"/>
      <c r="O101" s="107"/>
    </row>
    <row r="102" spans="1:18" ht="15" customHeight="1" x14ac:dyDescent="0.25">
      <c r="C102" s="307" t="s">
        <v>360</v>
      </c>
      <c r="D102" s="307"/>
      <c r="E102" s="307"/>
      <c r="F102" s="307"/>
      <c r="G102" s="307"/>
      <c r="H102" s="307"/>
      <c r="I102" s="307"/>
      <c r="J102" s="307"/>
      <c r="K102" s="307"/>
      <c r="L102" s="307"/>
      <c r="M102" s="307"/>
    </row>
  </sheetData>
  <mergeCells count="9">
    <mergeCell ref="C100:M100"/>
    <mergeCell ref="C102:M102"/>
    <mergeCell ref="C94:M94"/>
    <mergeCell ref="C101:M101"/>
    <mergeCell ref="C95:M95"/>
    <mergeCell ref="C96:M96"/>
    <mergeCell ref="C98:M98"/>
    <mergeCell ref="C97:O97"/>
    <mergeCell ref="C99:M99"/>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3" manualBreakCount="3">
    <brk id="29" min="1" max="13" man="1"/>
    <brk id="59" min="1" max="13" man="1"/>
    <brk id="92"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P65"/>
  <sheetViews>
    <sheetView showGridLines="0" view="pageBreakPreview" zoomScaleNormal="100" zoomScaleSheetLayoutView="100" workbookViewId="0"/>
  </sheetViews>
  <sheetFormatPr defaultColWidth="9.140625" defaultRowHeight="15" x14ac:dyDescent="0.25"/>
  <cols>
    <col min="1" max="1" width="1.42578125" customWidth="1"/>
    <col min="2" max="2" width="1.140625" customWidth="1"/>
    <col min="3" max="3" width="40.7109375" customWidth="1"/>
    <col min="4" max="13" width="12.7109375" customWidth="1"/>
    <col min="14" max="14" width="1.7109375" customWidth="1"/>
  </cols>
  <sheetData>
    <row r="1" spans="3:13" ht="6.75" customHeight="1" x14ac:dyDescent="0.25"/>
    <row r="2" spans="3:13" s="3" customFormat="1" ht="15.75" x14ac:dyDescent="0.25">
      <c r="C2" s="112" t="s">
        <v>134</v>
      </c>
    </row>
    <row r="3" spans="3:13" ht="17.25" x14ac:dyDescent="0.25">
      <c r="C3" s="135"/>
    </row>
    <row r="4" spans="3:13" ht="14.25" customHeight="1"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135"/>
      <c r="D5" s="216"/>
      <c r="E5" s="215"/>
      <c r="F5" s="215"/>
      <c r="G5" s="215"/>
      <c r="H5" s="215"/>
      <c r="I5" s="215"/>
      <c r="J5" s="214"/>
      <c r="K5" s="217"/>
      <c r="L5" s="217"/>
      <c r="M5" s="217"/>
    </row>
    <row r="6" spans="3:13" s="4" customFormat="1" ht="17.850000000000001" customHeight="1" thickBot="1" x14ac:dyDescent="0.25">
      <c r="C6" s="136" t="s">
        <v>30</v>
      </c>
      <c r="D6" s="136">
        <v>2015</v>
      </c>
      <c r="E6" s="136">
        <v>2016</v>
      </c>
      <c r="F6" s="136">
        <v>2017</v>
      </c>
      <c r="G6" s="136">
        <v>2018</v>
      </c>
      <c r="H6" s="136">
        <v>2019</v>
      </c>
      <c r="I6" s="136">
        <v>2020</v>
      </c>
      <c r="J6" s="114">
        <v>2021</v>
      </c>
      <c r="K6" s="136">
        <v>2022</v>
      </c>
      <c r="L6" s="136">
        <v>2023</v>
      </c>
      <c r="M6" s="136">
        <v>2024</v>
      </c>
    </row>
    <row r="7" spans="3:13" ht="15.75" thickTop="1" x14ac:dyDescent="0.25">
      <c r="C7" s="137" t="s">
        <v>102</v>
      </c>
      <c r="D7" s="115"/>
      <c r="E7" s="115"/>
      <c r="F7" s="115"/>
      <c r="G7" s="115"/>
      <c r="H7" s="115"/>
      <c r="I7" s="115"/>
      <c r="J7" s="115"/>
      <c r="K7" s="115"/>
      <c r="L7" s="115"/>
      <c r="M7" s="115"/>
    </row>
    <row r="8" spans="3:13" x14ac:dyDescent="0.25">
      <c r="C8" s="117" t="s">
        <v>57</v>
      </c>
      <c r="D8" s="118">
        <v>48455</v>
      </c>
      <c r="E8" s="118">
        <v>98070</v>
      </c>
      <c r="F8" s="118">
        <v>174474</v>
      </c>
      <c r="G8" s="118">
        <v>190007</v>
      </c>
      <c r="H8" s="118">
        <v>237480</v>
      </c>
      <c r="I8" s="118">
        <v>324226</v>
      </c>
      <c r="J8" s="118">
        <v>130870.42636685701</v>
      </c>
      <c r="K8" s="118">
        <v>133850</v>
      </c>
      <c r="L8" s="118">
        <v>213036</v>
      </c>
      <c r="M8" s="118">
        <v>307426</v>
      </c>
    </row>
    <row r="9" spans="3:13" x14ac:dyDescent="0.25">
      <c r="C9" s="117" t="s">
        <v>103</v>
      </c>
      <c r="D9" s="118">
        <v>255190</v>
      </c>
      <c r="E9" s="118">
        <v>285907</v>
      </c>
      <c r="F9" s="118">
        <v>298515</v>
      </c>
      <c r="G9" s="118">
        <v>333292</v>
      </c>
      <c r="H9" s="118">
        <v>388593</v>
      </c>
      <c r="I9" s="118">
        <v>433189</v>
      </c>
      <c r="J9" s="118">
        <v>822127.35751345055</v>
      </c>
      <c r="K9" s="118">
        <v>895369</v>
      </c>
      <c r="L9" s="118">
        <v>970904</v>
      </c>
      <c r="M9" s="118">
        <v>1068653</v>
      </c>
    </row>
    <row r="10" spans="3:13" x14ac:dyDescent="0.25">
      <c r="C10" s="117" t="s">
        <v>104</v>
      </c>
      <c r="D10" s="118">
        <v>35728</v>
      </c>
      <c r="E10" s="118">
        <v>39807</v>
      </c>
      <c r="F10" s="118">
        <v>50240</v>
      </c>
      <c r="G10" s="118">
        <v>60251</v>
      </c>
      <c r="H10" s="118">
        <v>76788</v>
      </c>
      <c r="I10" s="118">
        <v>119714</v>
      </c>
      <c r="J10" s="118">
        <v>70232.439584809879</v>
      </c>
      <c r="K10" s="118">
        <v>87081</v>
      </c>
      <c r="L10" s="118">
        <v>105510</v>
      </c>
      <c r="M10" s="118">
        <v>127979</v>
      </c>
    </row>
    <row r="11" spans="3:13" ht="15.75" thickBot="1" x14ac:dyDescent="0.3">
      <c r="C11" s="138" t="s">
        <v>105</v>
      </c>
      <c r="D11" s="139">
        <v>-32013</v>
      </c>
      <c r="E11" s="139">
        <v>-25642</v>
      </c>
      <c r="F11" s="139">
        <v>-36663</v>
      </c>
      <c r="G11" s="139">
        <v>-40255</v>
      </c>
      <c r="H11" s="139">
        <v>-48558</v>
      </c>
      <c r="I11" s="139">
        <v>-33676</v>
      </c>
      <c r="J11" s="139">
        <v>-61589.113640128111</v>
      </c>
      <c r="K11" s="139">
        <v>-77133</v>
      </c>
      <c r="L11" s="139">
        <v>-91239</v>
      </c>
      <c r="M11" s="139">
        <v>-114635</v>
      </c>
    </row>
    <row r="12" spans="3:13" ht="24" x14ac:dyDescent="0.25">
      <c r="C12" s="121" t="s">
        <v>25</v>
      </c>
      <c r="D12" s="122">
        <v>307360</v>
      </c>
      <c r="E12" s="122">
        <v>398142</v>
      </c>
      <c r="F12" s="122">
        <v>486566</v>
      </c>
      <c r="G12" s="122">
        <v>543295</v>
      </c>
      <c r="H12" s="122">
        <v>654303</v>
      </c>
      <c r="I12" s="122">
        <v>843453</v>
      </c>
      <c r="J12" s="122">
        <v>961641.10982498922</v>
      </c>
      <c r="K12" s="122">
        <v>1039167</v>
      </c>
      <c r="L12" s="122">
        <v>1198211</v>
      </c>
      <c r="M12" s="122">
        <v>1389423</v>
      </c>
    </row>
    <row r="13" spans="3:13" x14ac:dyDescent="0.25">
      <c r="C13" s="125"/>
      <c r="D13" s="140"/>
      <c r="E13" s="140"/>
      <c r="F13" s="140"/>
      <c r="G13" s="140"/>
      <c r="H13" s="140"/>
      <c r="I13" s="140"/>
      <c r="J13" s="140"/>
      <c r="K13" s="140"/>
      <c r="L13" s="140"/>
      <c r="M13" s="211"/>
    </row>
    <row r="14" spans="3:13" x14ac:dyDescent="0.25">
      <c r="C14" s="141" t="s">
        <v>26</v>
      </c>
      <c r="D14" s="142"/>
      <c r="E14" s="142"/>
      <c r="F14" s="142"/>
      <c r="G14" s="142"/>
      <c r="H14" s="142"/>
      <c r="I14" s="142"/>
      <c r="J14" s="142"/>
      <c r="K14" s="142"/>
      <c r="L14" s="142"/>
      <c r="M14" s="142"/>
    </row>
    <row r="15" spans="3:13" x14ac:dyDescent="0.25">
      <c r="C15" s="143" t="s">
        <v>106</v>
      </c>
      <c r="D15" s="118">
        <v>-5135</v>
      </c>
      <c r="E15" s="118">
        <v>-344</v>
      </c>
      <c r="F15" s="118">
        <v>-13555</v>
      </c>
      <c r="G15" s="118">
        <v>-28757</v>
      </c>
      <c r="H15" s="118">
        <v>-20072</v>
      </c>
      <c r="I15" s="118">
        <v>-37423</v>
      </c>
      <c r="J15" s="118">
        <v>-89185.648393009047</v>
      </c>
      <c r="K15" s="118">
        <v>-86977</v>
      </c>
      <c r="L15" s="118">
        <v>44277</v>
      </c>
      <c r="M15" s="118">
        <v>-26257</v>
      </c>
    </row>
    <row r="16" spans="3:13" x14ac:dyDescent="0.25">
      <c r="C16" s="143" t="s">
        <v>322</v>
      </c>
      <c r="D16" s="118">
        <v>-13925</v>
      </c>
      <c r="E16" s="118">
        <v>-9858</v>
      </c>
      <c r="F16" s="118">
        <v>-33195</v>
      </c>
      <c r="G16" s="118">
        <v>-10432</v>
      </c>
      <c r="H16" s="118">
        <v>-11816</v>
      </c>
      <c r="I16" s="118">
        <v>-17245.339978201548</v>
      </c>
      <c r="J16" s="118">
        <v>-24469.017367733999</v>
      </c>
      <c r="K16" s="118">
        <v>-93368.210113741749</v>
      </c>
      <c r="L16" s="118">
        <v>-88411.80371540488</v>
      </c>
      <c r="M16" s="118">
        <v>-62444.204760170687</v>
      </c>
    </row>
    <row r="17" spans="3:14" x14ac:dyDescent="0.25">
      <c r="C17" s="143" t="s">
        <v>107</v>
      </c>
      <c r="D17" s="118">
        <v>863</v>
      </c>
      <c r="E17" s="118">
        <v>-16013</v>
      </c>
      <c r="F17" s="118">
        <v>-20352</v>
      </c>
      <c r="G17" s="118">
        <v>-25586</v>
      </c>
      <c r="H17" s="118">
        <v>-41743</v>
      </c>
      <c r="I17" s="118">
        <v>-19416</v>
      </c>
      <c r="J17" s="118">
        <v>-5638</v>
      </c>
      <c r="K17" s="118">
        <v>-13810</v>
      </c>
      <c r="L17" s="118">
        <v>15584</v>
      </c>
      <c r="M17" s="118">
        <v>-56421</v>
      </c>
    </row>
    <row r="18" spans="3:14" x14ac:dyDescent="0.25">
      <c r="C18" s="143" t="s">
        <v>108</v>
      </c>
      <c r="D18" s="118">
        <v>6428</v>
      </c>
      <c r="E18" s="118">
        <v>13457</v>
      </c>
      <c r="F18" s="118">
        <v>31136</v>
      </c>
      <c r="G18" s="118">
        <v>11041</v>
      </c>
      <c r="H18" s="118">
        <v>14402</v>
      </c>
      <c r="I18" s="118">
        <v>45644</v>
      </c>
      <c r="J18" s="118">
        <v>7753.2853795132796</v>
      </c>
      <c r="K18" s="118">
        <v>-550</v>
      </c>
      <c r="L18" s="118">
        <v>-12533</v>
      </c>
      <c r="M18" s="118">
        <v>6716</v>
      </c>
    </row>
    <row r="19" spans="3:14" ht="15.75" thickBot="1" x14ac:dyDescent="0.3">
      <c r="C19" s="144" t="s">
        <v>323</v>
      </c>
      <c r="D19" s="139">
        <v>21313</v>
      </c>
      <c r="E19" s="139">
        <v>44997</v>
      </c>
      <c r="F19" s="139">
        <v>70040</v>
      </c>
      <c r="G19" s="139">
        <v>68123</v>
      </c>
      <c r="H19" s="139">
        <v>106135</v>
      </c>
      <c r="I19" s="139">
        <v>95574.848394366069</v>
      </c>
      <c r="J19" s="139">
        <v>-132898.62093039983</v>
      </c>
      <c r="K19" s="139">
        <v>56260.536958866694</v>
      </c>
      <c r="L19" s="139">
        <v>127396.23592287823</v>
      </c>
      <c r="M19" s="139">
        <v>79508.328175625677</v>
      </c>
    </row>
    <row r="20" spans="3:14" ht="15.75" thickBot="1" x14ac:dyDescent="0.3">
      <c r="C20" s="145" t="s">
        <v>324</v>
      </c>
      <c r="D20" s="146">
        <v>9544</v>
      </c>
      <c r="E20" s="146">
        <v>32239</v>
      </c>
      <c r="F20" s="146">
        <v>34074</v>
      </c>
      <c r="G20" s="146">
        <v>14390</v>
      </c>
      <c r="H20" s="146">
        <v>46906</v>
      </c>
      <c r="I20" s="146">
        <v>67135.508416164521</v>
      </c>
      <c r="J20" s="146">
        <v>-244437.22727473464</v>
      </c>
      <c r="K20" s="146">
        <v>-138444.67315487505</v>
      </c>
      <c r="L20" s="146">
        <v>86312.43220747335</v>
      </c>
      <c r="M20" s="146">
        <v>-58897.876584545011</v>
      </c>
    </row>
    <row r="21" spans="3:14" x14ac:dyDescent="0.25">
      <c r="C21" s="121" t="s">
        <v>325</v>
      </c>
      <c r="D21" s="122">
        <v>316904</v>
      </c>
      <c r="E21" s="122">
        <v>430381</v>
      </c>
      <c r="F21" s="122">
        <v>520641</v>
      </c>
      <c r="G21" s="122">
        <v>557684</v>
      </c>
      <c r="H21" s="122">
        <v>701209</v>
      </c>
      <c r="I21" s="122">
        <v>910588.50841616455</v>
      </c>
      <c r="J21" s="122">
        <v>717203.77272526536</v>
      </c>
      <c r="K21" s="122">
        <v>900722.32684512495</v>
      </c>
      <c r="L21" s="122">
        <v>1284523.4322074733</v>
      </c>
      <c r="M21" s="122">
        <v>1330525.123415455</v>
      </c>
    </row>
    <row r="22" spans="3:14" x14ac:dyDescent="0.25">
      <c r="C22" s="125"/>
      <c r="D22" s="244"/>
      <c r="E22" s="244"/>
      <c r="F22" s="244"/>
      <c r="G22" s="244"/>
      <c r="H22" s="244"/>
      <c r="I22" s="244"/>
      <c r="J22" s="256"/>
      <c r="K22" s="244"/>
      <c r="L22" s="244"/>
      <c r="M22" s="244"/>
    </row>
    <row r="23" spans="3:14" x14ac:dyDescent="0.25">
      <c r="C23" s="147" t="s">
        <v>109</v>
      </c>
      <c r="D23" s="245"/>
      <c r="E23" s="148"/>
      <c r="F23" s="148"/>
      <c r="G23" s="148"/>
      <c r="H23" s="148"/>
      <c r="I23" s="148"/>
      <c r="J23" s="148"/>
      <c r="K23" s="148"/>
      <c r="L23" s="148"/>
      <c r="M23" s="148"/>
    </row>
    <row r="24" spans="3:14" ht="24" x14ac:dyDescent="0.25">
      <c r="C24" s="117" t="s">
        <v>110</v>
      </c>
      <c r="D24" s="118">
        <v>-107306</v>
      </c>
      <c r="E24" s="118">
        <v>-141570</v>
      </c>
      <c r="F24" s="118">
        <v>-200338</v>
      </c>
      <c r="G24" s="118">
        <v>-247042</v>
      </c>
      <c r="H24" s="118">
        <v>-295785</v>
      </c>
      <c r="I24" s="118">
        <v>-327194</v>
      </c>
      <c r="J24" s="118">
        <v>-378151</v>
      </c>
      <c r="K24" s="118">
        <v>-400739</v>
      </c>
      <c r="L24" s="118">
        <v>-418892</v>
      </c>
      <c r="M24" s="118">
        <v>-440550</v>
      </c>
      <c r="N24" s="149"/>
    </row>
    <row r="25" spans="3:14" ht="24" x14ac:dyDescent="0.25">
      <c r="C25" s="117" t="s">
        <v>111</v>
      </c>
      <c r="D25" s="118">
        <v>-147676</v>
      </c>
      <c r="E25" s="118">
        <v>-181391</v>
      </c>
      <c r="F25" s="118">
        <v>-228737</v>
      </c>
      <c r="G25" s="118">
        <v>-253374</v>
      </c>
      <c r="H25" s="118">
        <v>-297138</v>
      </c>
      <c r="I25" s="118">
        <v>-308797</v>
      </c>
      <c r="J25" s="118">
        <v>-385016</v>
      </c>
      <c r="K25" s="118">
        <v>-440428</v>
      </c>
      <c r="L25" s="118">
        <v>-465113</v>
      </c>
      <c r="M25" s="118">
        <v>-478243</v>
      </c>
      <c r="N25" s="149"/>
    </row>
    <row r="26" spans="3:14" x14ac:dyDescent="0.25">
      <c r="C26" s="117" t="s">
        <v>112</v>
      </c>
      <c r="D26" s="118">
        <v>0</v>
      </c>
      <c r="E26" s="118">
        <v>0</v>
      </c>
      <c r="F26" s="118">
        <v>0</v>
      </c>
      <c r="G26" s="118">
        <v>0</v>
      </c>
      <c r="H26" s="118">
        <v>-1798</v>
      </c>
      <c r="I26" s="118">
        <v>0</v>
      </c>
      <c r="J26" s="118">
        <v>0</v>
      </c>
      <c r="K26" s="118">
        <v>157</v>
      </c>
      <c r="L26" s="118">
        <v>0</v>
      </c>
      <c r="M26" s="118">
        <v>0</v>
      </c>
    </row>
    <row r="27" spans="3:14" x14ac:dyDescent="0.25">
      <c r="C27" s="117" t="s">
        <v>113</v>
      </c>
      <c r="D27" s="118">
        <v>-2386</v>
      </c>
      <c r="E27" s="118">
        <v>-3781</v>
      </c>
      <c r="F27" s="118">
        <v>0</v>
      </c>
      <c r="G27" s="118">
        <v>-4685</v>
      </c>
      <c r="H27" s="118">
        <v>0</v>
      </c>
      <c r="I27" s="118">
        <v>-1630</v>
      </c>
      <c r="J27" s="118">
        <v>0</v>
      </c>
      <c r="K27" s="118">
        <v>0</v>
      </c>
      <c r="L27" s="118">
        <v>0</v>
      </c>
      <c r="M27" s="118">
        <v>0</v>
      </c>
    </row>
    <row r="28" spans="3:14" x14ac:dyDescent="0.25">
      <c r="C28" s="117" t="s">
        <v>114</v>
      </c>
      <c r="D28" s="118">
        <v>0</v>
      </c>
      <c r="E28" s="118">
        <v>-3000</v>
      </c>
      <c r="F28" s="118">
        <v>-2500</v>
      </c>
      <c r="G28" s="118">
        <v>-3248</v>
      </c>
      <c r="H28" s="118">
        <v>-45000</v>
      </c>
      <c r="I28" s="118">
        <v>0</v>
      </c>
      <c r="J28" s="118">
        <v>-1000</v>
      </c>
      <c r="K28" s="118">
        <v>0</v>
      </c>
      <c r="L28" s="118">
        <v>0</v>
      </c>
      <c r="M28" s="118">
        <v>0</v>
      </c>
      <c r="N28" s="149"/>
    </row>
    <row r="29" spans="3:14" x14ac:dyDescent="0.25">
      <c r="C29" s="150" t="s">
        <v>115</v>
      </c>
      <c r="D29" s="118">
        <v>-46110</v>
      </c>
      <c r="E29" s="118">
        <v>-58141</v>
      </c>
      <c r="F29" s="118">
        <v>-5453</v>
      </c>
      <c r="G29" s="118">
        <v>0</v>
      </c>
      <c r="H29" s="118">
        <v>0</v>
      </c>
      <c r="I29" s="118">
        <v>0</v>
      </c>
      <c r="J29" s="118">
        <v>0</v>
      </c>
      <c r="K29" s="118">
        <v>0</v>
      </c>
      <c r="L29" s="118">
        <v>0</v>
      </c>
      <c r="M29" s="118">
        <v>0</v>
      </c>
    </row>
    <row r="30" spans="3:14" x14ac:dyDescent="0.25">
      <c r="C30" s="150" t="s">
        <v>116</v>
      </c>
      <c r="D30" s="118">
        <v>0</v>
      </c>
      <c r="E30" s="118">
        <v>0</v>
      </c>
      <c r="F30" s="118">
        <v>286</v>
      </c>
      <c r="G30" s="118">
        <v>0</v>
      </c>
      <c r="H30" s="118">
        <v>0</v>
      </c>
      <c r="I30" s="118">
        <v>0</v>
      </c>
      <c r="J30" s="118">
        <v>0</v>
      </c>
      <c r="K30" s="118">
        <v>0</v>
      </c>
      <c r="L30" s="118">
        <v>0</v>
      </c>
      <c r="M30" s="118">
        <v>0</v>
      </c>
    </row>
    <row r="31" spans="3:14" ht="15.75" thickBot="1" x14ac:dyDescent="0.3">
      <c r="C31" s="151" t="s">
        <v>117</v>
      </c>
      <c r="D31" s="118">
        <v>0</v>
      </c>
      <c r="E31" s="118">
        <v>0</v>
      </c>
      <c r="F31" s="118">
        <v>0</v>
      </c>
      <c r="G31" s="118">
        <v>0</v>
      </c>
      <c r="H31" s="152">
        <v>-48304</v>
      </c>
      <c r="I31" s="118">
        <v>0</v>
      </c>
      <c r="J31" s="118">
        <v>0</v>
      </c>
      <c r="K31" s="118">
        <v>0</v>
      </c>
      <c r="L31" s="118">
        <v>0</v>
      </c>
      <c r="M31" s="118">
        <v>0</v>
      </c>
    </row>
    <row r="32" spans="3:14" x14ac:dyDescent="0.25">
      <c r="C32" s="127" t="s">
        <v>27</v>
      </c>
      <c r="D32" s="153">
        <v>-303478</v>
      </c>
      <c r="E32" s="153">
        <v>-387883</v>
      </c>
      <c r="F32" s="153">
        <v>-436743</v>
      </c>
      <c r="G32" s="153">
        <v>-508349</v>
      </c>
      <c r="H32" s="153">
        <v>-688025</v>
      </c>
      <c r="I32" s="153">
        <v>-637621</v>
      </c>
      <c r="J32" s="153">
        <v>-764168</v>
      </c>
      <c r="K32" s="153">
        <v>-841010</v>
      </c>
      <c r="L32" s="153">
        <v>-884005</v>
      </c>
      <c r="M32" s="153">
        <v>-918793</v>
      </c>
    </row>
    <row r="33" spans="3:14" x14ac:dyDescent="0.25">
      <c r="C33" s="125"/>
      <c r="D33" s="154"/>
      <c r="E33" s="154"/>
      <c r="F33" s="154"/>
      <c r="G33" s="154"/>
      <c r="H33" s="154"/>
      <c r="I33" s="154"/>
      <c r="J33" s="154"/>
      <c r="K33" s="154"/>
      <c r="L33" s="154"/>
      <c r="M33" s="154"/>
    </row>
    <row r="34" spans="3:14" x14ac:dyDescent="0.25">
      <c r="C34" s="147" t="s">
        <v>118</v>
      </c>
      <c r="D34" s="148"/>
      <c r="E34" s="148"/>
      <c r="F34" s="148"/>
      <c r="G34" s="148"/>
      <c r="H34" s="148"/>
      <c r="I34" s="148"/>
      <c r="J34" s="148"/>
      <c r="K34" s="148"/>
      <c r="L34" s="148"/>
      <c r="M34" s="148"/>
    </row>
    <row r="35" spans="3:14" x14ac:dyDescent="0.25">
      <c r="C35" s="117" t="s">
        <v>326</v>
      </c>
      <c r="D35" s="118">
        <v>-5104</v>
      </c>
      <c r="E35" s="118">
        <v>-20284</v>
      </c>
      <c r="F35" s="118">
        <v>-12288</v>
      </c>
      <c r="G35" s="118">
        <v>68294</v>
      </c>
      <c r="H35" s="118">
        <v>16770</v>
      </c>
      <c r="I35" s="118">
        <v>-148108.50841616452</v>
      </c>
      <c r="J35" s="118">
        <v>290417.08145566483</v>
      </c>
      <c r="K35" s="118">
        <v>281117.67315487505</v>
      </c>
      <c r="L35" s="118">
        <v>257493</v>
      </c>
      <c r="M35" s="118">
        <v>55841</v>
      </c>
    </row>
    <row r="36" spans="3:14" x14ac:dyDescent="0.25">
      <c r="C36" s="117" t="s">
        <v>119</v>
      </c>
      <c r="D36" s="118">
        <v>2700000</v>
      </c>
      <c r="E36" s="118">
        <v>245000</v>
      </c>
      <c r="F36" s="118">
        <v>1989890</v>
      </c>
      <c r="G36" s="118">
        <v>1112000</v>
      </c>
      <c r="H36" s="118">
        <v>200000</v>
      </c>
      <c r="I36" s="118">
        <v>1800000</v>
      </c>
      <c r="J36" s="118">
        <v>4472783</v>
      </c>
      <c r="K36" s="118">
        <v>500000</v>
      </c>
      <c r="L36" s="118">
        <v>450000</v>
      </c>
      <c r="M36" s="118">
        <v>1050000</v>
      </c>
    </row>
    <row r="37" spans="3:14" x14ac:dyDescent="0.25">
      <c r="C37" s="117" t="s">
        <v>120</v>
      </c>
      <c r="D37" s="118">
        <v>0</v>
      </c>
      <c r="E37" s="118">
        <v>0</v>
      </c>
      <c r="F37" s="118">
        <v>-1036675</v>
      </c>
      <c r="G37" s="118">
        <v>0</v>
      </c>
      <c r="H37" s="118">
        <v>0</v>
      </c>
      <c r="I37" s="118">
        <v>0</v>
      </c>
      <c r="J37" s="118">
        <v>0</v>
      </c>
      <c r="K37" s="118">
        <v>0</v>
      </c>
      <c r="L37" s="118">
        <v>0</v>
      </c>
      <c r="M37" s="118">
        <v>0</v>
      </c>
      <c r="N37" s="149"/>
    </row>
    <row r="38" spans="3:14" x14ac:dyDescent="0.25">
      <c r="C38" s="117" t="s">
        <v>121</v>
      </c>
      <c r="D38" s="118">
        <v>-1508428</v>
      </c>
      <c r="E38" s="118">
        <v>0</v>
      </c>
      <c r="F38" s="118">
        <v>-760980</v>
      </c>
      <c r="G38" s="118">
        <v>-630000</v>
      </c>
      <c r="H38" s="118">
        <v>0</v>
      </c>
      <c r="I38" s="118">
        <v>-1600000</v>
      </c>
      <c r="J38" s="118">
        <v>-2734562</v>
      </c>
      <c r="K38" s="118">
        <v>-500000</v>
      </c>
      <c r="L38" s="118">
        <v>-650000</v>
      </c>
      <c r="M38" s="118">
        <v>-1030000</v>
      </c>
      <c r="N38" s="149"/>
    </row>
    <row r="39" spans="3:14" x14ac:dyDescent="0.25">
      <c r="C39" s="117" t="s">
        <v>122</v>
      </c>
      <c r="D39" s="118">
        <v>-150786</v>
      </c>
      <c r="E39" s="118">
        <v>-155244</v>
      </c>
      <c r="F39" s="118">
        <v>-181419</v>
      </c>
      <c r="G39" s="118">
        <v>-194212</v>
      </c>
      <c r="H39" s="118">
        <v>-209259</v>
      </c>
      <c r="I39" s="118">
        <v>-219409</v>
      </c>
      <c r="J39" s="118">
        <v>-263047</v>
      </c>
      <c r="K39" s="118">
        <v>-303864</v>
      </c>
      <c r="L39" s="118">
        <v>-451906</v>
      </c>
      <c r="M39" s="118">
        <v>-464834</v>
      </c>
    </row>
    <row r="40" spans="3:14" x14ac:dyDescent="0.25">
      <c r="C40" s="117" t="s">
        <v>123</v>
      </c>
      <c r="D40" s="118">
        <v>-87867</v>
      </c>
      <c r="E40" s="118">
        <v>-10480</v>
      </c>
      <c r="F40" s="118">
        <v>-23277</v>
      </c>
      <c r="G40" s="118">
        <v>-12608</v>
      </c>
      <c r="H40" s="118">
        <v>-6397</v>
      </c>
      <c r="I40" s="118">
        <v>-20973</v>
      </c>
      <c r="J40" s="118">
        <v>-74077</v>
      </c>
      <c r="K40" s="118">
        <v>-6441</v>
      </c>
      <c r="L40" s="118">
        <v>-5416</v>
      </c>
      <c r="M40" s="118">
        <v>-10978</v>
      </c>
    </row>
    <row r="41" spans="3:14" x14ac:dyDescent="0.25">
      <c r="C41" s="117" t="s">
        <v>22</v>
      </c>
      <c r="D41" s="118">
        <v>-8868</v>
      </c>
      <c r="E41" s="118">
        <v>-4454</v>
      </c>
      <c r="F41" s="118">
        <v>-5377</v>
      </c>
      <c r="G41" s="118">
        <v>-9592</v>
      </c>
      <c r="H41" s="118">
        <v>-14796</v>
      </c>
      <c r="I41" s="118">
        <v>28123</v>
      </c>
      <c r="J41" s="118">
        <v>-7543</v>
      </c>
      <c r="K41" s="118">
        <v>-11043</v>
      </c>
      <c r="L41" s="118">
        <v>-21852</v>
      </c>
      <c r="M41" s="118">
        <v>-1926</v>
      </c>
    </row>
    <row r="42" spans="3:14" x14ac:dyDescent="0.25">
      <c r="C42" s="117" t="s">
        <v>124</v>
      </c>
      <c r="D42" s="118">
        <v>0</v>
      </c>
      <c r="E42" s="118">
        <v>0</v>
      </c>
      <c r="F42" s="118">
        <v>0</v>
      </c>
      <c r="G42" s="118">
        <v>0</v>
      </c>
      <c r="H42" s="118">
        <v>0</v>
      </c>
      <c r="I42" s="118">
        <v>0</v>
      </c>
      <c r="J42" s="118">
        <v>0</v>
      </c>
      <c r="K42" s="118">
        <v>0</v>
      </c>
      <c r="L42" s="118">
        <v>0</v>
      </c>
      <c r="M42" s="118">
        <v>0</v>
      </c>
    </row>
    <row r="43" spans="3:14" x14ac:dyDescent="0.25">
      <c r="C43" s="117" t="s">
        <v>125</v>
      </c>
      <c r="D43" s="118">
        <v>-54675</v>
      </c>
      <c r="E43" s="118">
        <v>0</v>
      </c>
      <c r="F43" s="118">
        <v>-45317</v>
      </c>
      <c r="G43" s="118">
        <v>-18900</v>
      </c>
      <c r="H43" s="118">
        <v>0</v>
      </c>
      <c r="I43" s="118">
        <v>0</v>
      </c>
      <c r="J43" s="118">
        <v>-17175</v>
      </c>
      <c r="K43" s="118">
        <v>0</v>
      </c>
      <c r="L43" s="118">
        <v>0</v>
      </c>
      <c r="M43" s="118">
        <v>0</v>
      </c>
      <c r="N43" s="149"/>
    </row>
    <row r="44" spans="3:14" x14ac:dyDescent="0.25">
      <c r="C44" s="117" t="s">
        <v>126</v>
      </c>
      <c r="D44" s="118">
        <v>0</v>
      </c>
      <c r="E44" s="118">
        <v>0</v>
      </c>
      <c r="F44" s="118">
        <v>0</v>
      </c>
      <c r="G44" s="118">
        <v>0</v>
      </c>
      <c r="H44" s="118">
        <v>0</v>
      </c>
      <c r="I44" s="118">
        <v>-25152</v>
      </c>
      <c r="J44" s="118">
        <v>0</v>
      </c>
      <c r="K44" s="118">
        <v>0</v>
      </c>
      <c r="L44" s="118">
        <v>0</v>
      </c>
      <c r="M44" s="118">
        <v>0</v>
      </c>
    </row>
    <row r="45" spans="3:14" x14ac:dyDescent="0.25">
      <c r="C45" s="117" t="s">
        <v>127</v>
      </c>
      <c r="D45" s="118">
        <v>-161327</v>
      </c>
      <c r="E45" s="118">
        <v>-110000</v>
      </c>
      <c r="F45" s="118">
        <v>0</v>
      </c>
      <c r="G45" s="118">
        <v>-370528</v>
      </c>
      <c r="H45" s="118">
        <v>0</v>
      </c>
      <c r="I45" s="118">
        <v>0</v>
      </c>
      <c r="J45" s="118">
        <v>-1703787</v>
      </c>
      <c r="K45" s="118">
        <v>0</v>
      </c>
      <c r="L45" s="118">
        <v>0</v>
      </c>
      <c r="M45" s="118">
        <v>0</v>
      </c>
    </row>
    <row r="46" spans="3:14" x14ac:dyDescent="0.25">
      <c r="C46" s="117" t="s">
        <v>128</v>
      </c>
      <c r="D46" s="118">
        <v>1145</v>
      </c>
      <c r="E46" s="118">
        <v>12470</v>
      </c>
      <c r="F46" s="118">
        <v>0</v>
      </c>
      <c r="G46" s="118">
        <v>0</v>
      </c>
      <c r="H46" s="118">
        <v>0</v>
      </c>
      <c r="I46" s="118">
        <v>0</v>
      </c>
      <c r="J46" s="118">
        <v>0</v>
      </c>
      <c r="K46" s="118">
        <v>0</v>
      </c>
      <c r="L46" s="118">
        <v>0</v>
      </c>
      <c r="M46" s="118">
        <v>0</v>
      </c>
    </row>
    <row r="47" spans="3:14" x14ac:dyDescent="0.25">
      <c r="C47" s="117" t="s">
        <v>129</v>
      </c>
      <c r="D47" s="118">
        <v>0</v>
      </c>
      <c r="E47" s="118">
        <v>0</v>
      </c>
      <c r="F47" s="118">
        <v>0</v>
      </c>
      <c r="G47" s="118">
        <v>0</v>
      </c>
      <c r="H47" s="118">
        <v>4651</v>
      </c>
      <c r="I47" s="118">
        <v>0</v>
      </c>
      <c r="J47" s="118">
        <v>0</v>
      </c>
      <c r="K47" s="118">
        <v>0</v>
      </c>
      <c r="L47" s="118">
        <v>0</v>
      </c>
      <c r="M47" s="118">
        <v>0</v>
      </c>
    </row>
    <row r="48" spans="3:14" x14ac:dyDescent="0.25">
      <c r="C48" s="117" t="s">
        <v>130</v>
      </c>
      <c r="D48" s="118">
        <v>-724157</v>
      </c>
      <c r="E48" s="118">
        <v>0</v>
      </c>
      <c r="F48" s="118">
        <v>0</v>
      </c>
      <c r="G48" s="118">
        <v>691</v>
      </c>
      <c r="H48" s="118">
        <v>0</v>
      </c>
      <c r="I48" s="118">
        <v>0</v>
      </c>
      <c r="J48" s="118">
        <v>0</v>
      </c>
      <c r="K48" s="118">
        <v>0</v>
      </c>
      <c r="L48" s="118">
        <v>0</v>
      </c>
      <c r="M48" s="118">
        <v>0</v>
      </c>
    </row>
    <row r="49" spans="3:16" ht="15.75" thickBot="1" x14ac:dyDescent="0.3">
      <c r="C49" s="117" t="s">
        <v>131</v>
      </c>
      <c r="D49" s="118">
        <v>-13516</v>
      </c>
      <c r="E49" s="118">
        <v>0</v>
      </c>
      <c r="F49" s="118">
        <v>0</v>
      </c>
      <c r="G49" s="118">
        <v>0</v>
      </c>
      <c r="H49" s="118">
        <v>0</v>
      </c>
      <c r="I49" s="118">
        <v>0</v>
      </c>
      <c r="J49" s="118">
        <v>0</v>
      </c>
      <c r="K49" s="118">
        <v>0</v>
      </c>
      <c r="L49" s="118">
        <v>0</v>
      </c>
      <c r="M49" s="118">
        <v>0</v>
      </c>
    </row>
    <row r="50" spans="3:16" x14ac:dyDescent="0.25">
      <c r="C50" s="127" t="s">
        <v>327</v>
      </c>
      <c r="D50" s="153">
        <v>-13583</v>
      </c>
      <c r="E50" s="153">
        <v>-42992</v>
      </c>
      <c r="F50" s="153">
        <v>-75442</v>
      </c>
      <c r="G50" s="153">
        <v>-54854</v>
      </c>
      <c r="H50" s="153">
        <v>-9031</v>
      </c>
      <c r="I50" s="153">
        <v>-185519.50841616452</v>
      </c>
      <c r="J50" s="153">
        <v>-36990.494461238384</v>
      </c>
      <c r="K50" s="153">
        <f>+SUM(K35:K49)</f>
        <v>-40230.326845124946</v>
      </c>
      <c r="L50" s="153">
        <v>-421681</v>
      </c>
      <c r="M50" s="153">
        <v>-401897</v>
      </c>
    </row>
    <row r="51" spans="3:16" x14ac:dyDescent="0.25">
      <c r="C51" s="121"/>
      <c r="D51" s="122"/>
      <c r="E51" s="122"/>
      <c r="F51" s="122"/>
      <c r="G51" s="122"/>
      <c r="H51" s="122"/>
      <c r="I51" s="122"/>
      <c r="J51" s="122"/>
      <c r="K51" s="122"/>
      <c r="L51" s="122"/>
      <c r="M51" s="122"/>
    </row>
    <row r="52" spans="3:16" x14ac:dyDescent="0.25">
      <c r="C52" s="141" t="s">
        <v>28</v>
      </c>
      <c r="D52" s="142">
        <v>-157</v>
      </c>
      <c r="E52" s="142">
        <v>-494</v>
      </c>
      <c r="F52" s="142">
        <v>8456</v>
      </c>
      <c r="G52" s="142">
        <v>-5520</v>
      </c>
      <c r="H52" s="142">
        <v>4154</v>
      </c>
      <c r="I52" s="142">
        <v>87448</v>
      </c>
      <c r="J52" s="142">
        <v>-83953</v>
      </c>
      <c r="K52" s="142">
        <v>19482</v>
      </c>
      <c r="L52" s="142">
        <v>-21163</v>
      </c>
      <c r="M52" s="142">
        <v>9835</v>
      </c>
    </row>
    <row r="53" spans="3:16" x14ac:dyDescent="0.25">
      <c r="C53" s="117" t="s">
        <v>132</v>
      </c>
      <c r="D53" s="118">
        <v>6691</v>
      </c>
      <c r="E53" s="118">
        <v>6356</v>
      </c>
      <c r="F53" s="118">
        <v>5985</v>
      </c>
      <c r="G53" s="118">
        <v>14245</v>
      </c>
      <c r="H53" s="118">
        <v>8613</v>
      </c>
      <c r="I53" s="118">
        <v>12770</v>
      </c>
      <c r="J53" s="118">
        <v>97963</v>
      </c>
      <c r="K53" s="118">
        <v>24360</v>
      </c>
      <c r="L53" s="118">
        <v>43726</v>
      </c>
      <c r="M53" s="118">
        <v>21403</v>
      </c>
    </row>
    <row r="54" spans="3:16" ht="21.75" customHeight="1" thickBot="1" x14ac:dyDescent="0.3">
      <c r="C54" s="151" t="s">
        <v>133</v>
      </c>
      <c r="D54" s="152">
        <v>-178</v>
      </c>
      <c r="E54" s="152">
        <v>123</v>
      </c>
      <c r="F54" s="152">
        <v>-195</v>
      </c>
      <c r="G54" s="152">
        <v>-112</v>
      </c>
      <c r="H54" s="152">
        <v>3</v>
      </c>
      <c r="I54" s="152">
        <v>-2277</v>
      </c>
      <c r="J54" s="152">
        <v>10350</v>
      </c>
      <c r="K54" s="152">
        <v>-116</v>
      </c>
      <c r="L54" s="152">
        <v>-1160</v>
      </c>
      <c r="M54" s="152">
        <v>-1101</v>
      </c>
    </row>
    <row r="55" spans="3:16" x14ac:dyDescent="0.25">
      <c r="C55" s="121" t="s">
        <v>29</v>
      </c>
      <c r="D55" s="122">
        <v>6356</v>
      </c>
      <c r="E55" s="122">
        <v>5985</v>
      </c>
      <c r="F55" s="122">
        <v>14245</v>
      </c>
      <c r="G55" s="122">
        <v>8613</v>
      </c>
      <c r="H55" s="122">
        <v>12770</v>
      </c>
      <c r="I55" s="122">
        <v>97941</v>
      </c>
      <c r="J55" s="122">
        <v>24360</v>
      </c>
      <c r="K55" s="122">
        <v>43726</v>
      </c>
      <c r="L55" s="122">
        <v>21403</v>
      </c>
      <c r="M55" s="122">
        <v>30136</v>
      </c>
    </row>
    <row r="56" spans="3:16" x14ac:dyDescent="0.25">
      <c r="C56" s="121"/>
      <c r="D56" s="122"/>
      <c r="E56" s="122"/>
      <c r="F56" s="122"/>
      <c r="G56" s="122"/>
      <c r="H56" s="122"/>
      <c r="I56" s="122"/>
      <c r="J56" s="122"/>
      <c r="K56" s="122"/>
      <c r="L56" s="122"/>
      <c r="M56" s="122"/>
    </row>
    <row r="57" spans="3:16" x14ac:dyDescent="0.25">
      <c r="C57" s="179" t="s">
        <v>412</v>
      </c>
      <c r="D57" s="122"/>
      <c r="E57" s="122"/>
      <c r="F57" s="122"/>
      <c r="G57" s="122"/>
      <c r="H57" s="122"/>
      <c r="I57" s="122"/>
      <c r="J57" s="122"/>
      <c r="K57" s="122"/>
      <c r="L57" s="122"/>
      <c r="M57" s="122"/>
    </row>
    <row r="58" spans="3:16" x14ac:dyDescent="0.25">
      <c r="C58" s="125" t="s">
        <v>328</v>
      </c>
      <c r="D58" s="122"/>
      <c r="E58" s="122"/>
      <c r="F58" s="122"/>
      <c r="G58" s="122"/>
      <c r="H58" s="122"/>
      <c r="I58" s="178">
        <v>-31109.491583835479</v>
      </c>
      <c r="J58" s="178">
        <v>-99797.149934240908</v>
      </c>
      <c r="K58" s="178">
        <v>-99153.673154875083</v>
      </c>
      <c r="L58" s="178">
        <v>-111226</v>
      </c>
      <c r="M58" s="178"/>
    </row>
    <row r="59" spans="3:16" x14ac:dyDescent="0.25">
      <c r="C59" s="125" t="s">
        <v>329</v>
      </c>
      <c r="D59" s="122"/>
      <c r="E59" s="122"/>
      <c r="F59" s="122"/>
      <c r="G59" s="122"/>
      <c r="H59" s="122"/>
      <c r="I59" s="178">
        <v>31109.491583835479</v>
      </c>
      <c r="J59" s="178">
        <v>99797.681813496034</v>
      </c>
      <c r="K59" s="178">
        <v>99153.673154875054</v>
      </c>
      <c r="L59" s="178">
        <v>111226</v>
      </c>
      <c r="M59" s="178"/>
    </row>
    <row r="60" spans="3:16" x14ac:dyDescent="0.25">
      <c r="C60" s="125"/>
      <c r="D60" s="122"/>
      <c r="E60" s="122"/>
      <c r="F60" s="122"/>
      <c r="G60" s="122"/>
      <c r="H60" s="122"/>
      <c r="I60" s="122"/>
      <c r="J60" s="122"/>
      <c r="K60" s="122"/>
      <c r="L60" s="122"/>
      <c r="M60" s="122"/>
    </row>
    <row r="61" spans="3:16" x14ac:dyDescent="0.25">
      <c r="C61" s="69" t="s">
        <v>92</v>
      </c>
      <c r="D61" s="155"/>
      <c r="E61" s="155"/>
      <c r="F61" s="155"/>
      <c r="G61" s="155"/>
      <c r="H61" s="155"/>
      <c r="I61" s="155"/>
      <c r="J61" s="155"/>
      <c r="K61" s="155"/>
      <c r="L61" s="155"/>
      <c r="M61" s="155"/>
    </row>
    <row r="62" spans="3:16" ht="45" customHeight="1" x14ac:dyDescent="0.25">
      <c r="C62" s="301" t="s">
        <v>355</v>
      </c>
      <c r="D62" s="301"/>
      <c r="E62" s="301"/>
      <c r="F62" s="301"/>
      <c r="G62" s="301"/>
      <c r="H62" s="301"/>
      <c r="I62" s="301"/>
      <c r="J62" s="301"/>
      <c r="K62" s="301"/>
      <c r="L62" s="301"/>
      <c r="M62" s="301"/>
    </row>
    <row r="63" spans="3:16" ht="21.95" customHeight="1" x14ac:dyDescent="0.25">
      <c r="C63" s="307" t="s">
        <v>301</v>
      </c>
      <c r="D63" s="307"/>
      <c r="E63" s="307"/>
      <c r="F63" s="307"/>
      <c r="G63" s="307"/>
      <c r="H63" s="307"/>
      <c r="I63" s="307"/>
      <c r="J63" s="307"/>
      <c r="K63" s="307"/>
      <c r="L63" s="307"/>
      <c r="M63" s="307"/>
      <c r="N63" s="107"/>
      <c r="O63" s="107"/>
      <c r="P63" s="107"/>
    </row>
    <row r="64" spans="3:16" ht="15" customHeight="1" x14ac:dyDescent="0.25">
      <c r="C64" s="307" t="s">
        <v>320</v>
      </c>
      <c r="D64" s="307"/>
      <c r="E64" s="307"/>
      <c r="F64" s="307"/>
      <c r="G64" s="307"/>
      <c r="H64" s="307"/>
      <c r="I64" s="307"/>
      <c r="J64" s="307"/>
      <c r="K64" s="307"/>
      <c r="L64" s="307"/>
      <c r="M64" s="307"/>
    </row>
    <row r="65" spans="3:13" ht="15" customHeight="1" x14ac:dyDescent="0.25">
      <c r="C65" s="307" t="s">
        <v>321</v>
      </c>
      <c r="D65" s="307"/>
      <c r="E65" s="307"/>
      <c r="F65" s="307"/>
      <c r="G65" s="307"/>
      <c r="H65" s="307"/>
      <c r="I65" s="307"/>
      <c r="J65" s="307"/>
      <c r="K65" s="307"/>
      <c r="L65" s="307"/>
      <c r="M65" s="307"/>
    </row>
  </sheetData>
  <mergeCells count="4">
    <mergeCell ref="C63:M63"/>
    <mergeCell ref="C64:M64"/>
    <mergeCell ref="C65:M65"/>
    <mergeCell ref="C62:M62"/>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1" manualBreakCount="1">
    <brk id="3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Q29"/>
  <sheetViews>
    <sheetView showGridLines="0" view="pageBreakPreview" zoomScaleNormal="100" zoomScaleSheetLayoutView="100" workbookViewId="0"/>
  </sheetViews>
  <sheetFormatPr defaultColWidth="9.140625" defaultRowHeight="15" outlineLevelRow="1" x14ac:dyDescent="0.25"/>
  <cols>
    <col min="1" max="1" width="1.140625" customWidth="1"/>
    <col min="2" max="2" width="1.28515625" customWidth="1"/>
    <col min="3" max="3" width="46.7109375" customWidth="1"/>
    <col min="4" max="13" width="12.7109375" customWidth="1"/>
    <col min="14" max="14" width="1.42578125" customWidth="1"/>
    <col min="15" max="15" width="10.5703125" bestFit="1" customWidth="1"/>
  </cols>
  <sheetData>
    <row r="1" spans="3:17" ht="4.5" customHeight="1" x14ac:dyDescent="0.25"/>
    <row r="2" spans="3:17" s="3" customFormat="1" ht="15.75" x14ac:dyDescent="0.25">
      <c r="C2" s="112" t="s">
        <v>254</v>
      </c>
    </row>
    <row r="3" spans="3:17" ht="17.25" x14ac:dyDescent="0.25">
      <c r="C3" s="156"/>
    </row>
    <row r="4" spans="3:17" x14ac:dyDescent="0.25">
      <c r="C4" s="240" t="s">
        <v>294</v>
      </c>
      <c r="D4" s="214" t="s">
        <v>292</v>
      </c>
      <c r="E4" s="214" t="s">
        <v>292</v>
      </c>
      <c r="F4" s="214" t="s">
        <v>292</v>
      </c>
      <c r="G4" s="214" t="s">
        <v>292</v>
      </c>
      <c r="H4" s="214" t="s">
        <v>292</v>
      </c>
      <c r="I4" s="214" t="s">
        <v>292</v>
      </c>
      <c r="J4" s="214" t="s">
        <v>293</v>
      </c>
      <c r="K4" s="214" t="s">
        <v>293</v>
      </c>
      <c r="L4" s="214" t="s">
        <v>293</v>
      </c>
      <c r="M4" s="214" t="s">
        <v>293</v>
      </c>
    </row>
    <row r="5" spans="3:17" ht="5.0999999999999996" customHeight="1" x14ac:dyDescent="0.25">
      <c r="C5" s="156"/>
      <c r="D5" s="216"/>
      <c r="E5" s="215"/>
      <c r="F5" s="215"/>
      <c r="G5" s="215"/>
      <c r="H5" s="215"/>
      <c r="I5" s="215"/>
      <c r="J5" s="214"/>
      <c r="K5" s="217"/>
      <c r="L5" s="217"/>
      <c r="M5" s="217"/>
    </row>
    <row r="6" spans="3:17" s="4" customFormat="1" ht="15.75" thickBot="1" x14ac:dyDescent="0.3">
      <c r="C6" s="113" t="s">
        <v>30</v>
      </c>
      <c r="D6" s="114">
        <v>2015</v>
      </c>
      <c r="E6" s="114">
        <v>2016</v>
      </c>
      <c r="F6" s="114">
        <v>2017</v>
      </c>
      <c r="G6" s="114">
        <v>2018</v>
      </c>
      <c r="H6" s="114">
        <v>2019</v>
      </c>
      <c r="I6" s="114">
        <v>2020</v>
      </c>
      <c r="J6" s="114">
        <v>2021</v>
      </c>
      <c r="K6" s="114">
        <v>2022</v>
      </c>
      <c r="L6" s="114">
        <v>2023</v>
      </c>
      <c r="M6" s="114">
        <v>2024</v>
      </c>
      <c r="N6" s="157"/>
      <c r="P6"/>
      <c r="Q6"/>
    </row>
    <row r="7" spans="3:17" s="4" customFormat="1" ht="16.5" thickTop="1" thickBot="1" x14ac:dyDescent="0.3">
      <c r="C7" s="185"/>
      <c r="D7" s="186"/>
      <c r="E7" s="186"/>
      <c r="F7" s="186"/>
      <c r="G7" s="186"/>
      <c r="H7" s="186"/>
      <c r="I7" s="186"/>
      <c r="J7" s="186"/>
      <c r="K7" s="186"/>
      <c r="L7" s="186"/>
      <c r="M7" s="186"/>
      <c r="N7" s="157"/>
      <c r="P7"/>
      <c r="Q7"/>
    </row>
    <row r="8" spans="3:17" s="4" customFormat="1" ht="15.75" thickBot="1" x14ac:dyDescent="0.3">
      <c r="C8" s="182" t="s">
        <v>242</v>
      </c>
      <c r="D8" s="183">
        <f>+'Annual Summary'!I65*1000</f>
        <v>213295.99999999994</v>
      </c>
      <c r="E8" s="183">
        <f>+'Annual Summary'!J65*1000</f>
        <v>276299.99999999994</v>
      </c>
      <c r="F8" s="183">
        <f>+'Annual Summary'!K65*1000</f>
        <v>362200.00000000012</v>
      </c>
      <c r="G8" s="183">
        <f>+'Annual Summary'!L65*1000</f>
        <v>370200.00000000006</v>
      </c>
      <c r="H8" s="183">
        <f>+'Annual Summary'!M65*1000</f>
        <v>448800.00000000012</v>
      </c>
      <c r="I8" s="183">
        <f>+'Annual Summary'!N65*1000</f>
        <v>549700.00000000012</v>
      </c>
      <c r="J8" s="183">
        <f>+'Annual Summary'!O65*1000</f>
        <v>572242.4944869763</v>
      </c>
      <c r="K8" s="183">
        <f>+'Annual Summary'!P65*1000</f>
        <v>576834.61682371167</v>
      </c>
      <c r="L8" s="183">
        <f>+'Annual Summary'!Q65*1000</f>
        <v>693970.61866473395</v>
      </c>
      <c r="M8" s="183">
        <f>+'Annual Summary'!R65*1000</f>
        <v>819069.88179739006</v>
      </c>
      <c r="N8" s="157"/>
      <c r="P8"/>
      <c r="Q8"/>
    </row>
    <row r="9" spans="3:17" s="4" customFormat="1" x14ac:dyDescent="0.25">
      <c r="C9" s="185"/>
      <c r="D9" s="186"/>
      <c r="E9" s="186"/>
      <c r="F9" s="186"/>
      <c r="G9" s="186"/>
      <c r="H9" s="186"/>
      <c r="I9" s="186"/>
      <c r="J9" s="186"/>
      <c r="K9" s="186"/>
      <c r="L9" s="186"/>
      <c r="M9" s="186"/>
      <c r="N9" s="157"/>
      <c r="P9"/>
      <c r="Q9"/>
    </row>
    <row r="10" spans="3:17" x14ac:dyDescent="0.25">
      <c r="C10" s="187" t="s">
        <v>255</v>
      </c>
      <c r="D10" s="125"/>
      <c r="E10" s="125"/>
      <c r="F10" s="125"/>
      <c r="G10" s="125"/>
      <c r="H10" s="125"/>
      <c r="I10" s="125"/>
      <c r="J10" s="125"/>
      <c r="K10" s="125"/>
      <c r="L10" s="125"/>
      <c r="M10" s="125"/>
      <c r="O10" s="4"/>
    </row>
    <row r="11" spans="3:17" ht="15" customHeight="1" x14ac:dyDescent="0.25">
      <c r="C11" s="117" t="s">
        <v>250</v>
      </c>
      <c r="D11" s="118">
        <f>+'Annual BS'!D39</f>
        <v>-307878</v>
      </c>
      <c r="E11" s="118">
        <f>+'Annual BS'!E39</f>
        <v>-486869</v>
      </c>
      <c r="F11" s="118">
        <f>+'Annual BS'!F39</f>
        <v>-553828</v>
      </c>
      <c r="G11" s="118">
        <f>+'Annual BS'!G39</f>
        <v>-2048783</v>
      </c>
      <c r="H11" s="118">
        <f>+'Annual BS'!H39</f>
        <v>-2163786</v>
      </c>
      <c r="I11" s="118">
        <f>+'Annual BS'!I39</f>
        <v>-2256237</v>
      </c>
      <c r="J11" s="118">
        <f>+'Annual BS'!J39</f>
        <v>6982462.4000000004</v>
      </c>
      <c r="K11" s="118">
        <f>+'Annual BS'!K39</f>
        <v>6519815.4819775317</v>
      </c>
      <c r="L11" s="118">
        <f>+'Annual BS'!L39</f>
        <v>6190651.8095634123</v>
      </c>
      <c r="M11" s="118">
        <f>+'Annual BS'!M39</f>
        <v>5872630.8522625156</v>
      </c>
      <c r="O11" s="4"/>
    </row>
    <row r="12" spans="3:17" ht="15" customHeight="1" x14ac:dyDescent="0.25">
      <c r="C12" s="117" t="s">
        <v>251</v>
      </c>
      <c r="D12" s="118">
        <f>+'Annual BS'!D42</f>
        <v>2592859</v>
      </c>
      <c r="E12" s="118">
        <f>+'Annual BS'!E42</f>
        <v>2897840</v>
      </c>
      <c r="F12" s="118">
        <f>+'Annual BS'!F42</f>
        <v>4112790</v>
      </c>
      <c r="G12" s="118">
        <f>+'Annual BS'!G42</f>
        <v>4573202</v>
      </c>
      <c r="H12" s="118">
        <f>+'Annual BS'!H42</f>
        <v>4948800</v>
      </c>
      <c r="I12" s="118">
        <f>+'Annual BS'!I42</f>
        <v>5080470.2922682595</v>
      </c>
      <c r="J12" s="118">
        <f>+'Annual BS'!J42</f>
        <v>7078341.0572480755</v>
      </c>
      <c r="K12" s="118">
        <f>+'Annual BS'!K42</f>
        <v>7326900.5873643365</v>
      </c>
      <c r="L12" s="118">
        <f>+'Annual BS'!L42</f>
        <v>7414205.3854160635</v>
      </c>
      <c r="M12" s="118">
        <f>+'Annual BS'!M42</f>
        <v>7579973.6245725257</v>
      </c>
      <c r="O12" s="4"/>
    </row>
    <row r="13" spans="3:17" ht="15" customHeight="1" x14ac:dyDescent="0.25">
      <c r="C13" s="117" t="s">
        <v>252</v>
      </c>
      <c r="D13" s="118">
        <f>+'Annual BS'!D52</f>
        <v>18807</v>
      </c>
      <c r="E13" s="118">
        <f>+'Annual BS'!E52</f>
        <v>61394</v>
      </c>
      <c r="F13" s="118">
        <f>+'Annual BS'!F52</f>
        <v>53072</v>
      </c>
      <c r="G13" s="118">
        <f>+'Annual BS'!G52</f>
        <v>47913</v>
      </c>
      <c r="H13" s="118">
        <f>+'Annual BS'!H52</f>
        <v>91726</v>
      </c>
      <c r="I13" s="118">
        <f>+'Annual BS'!I52</f>
        <v>109636.10538044406</v>
      </c>
      <c r="J13" s="118">
        <f>+'Annual BS'!J52</f>
        <v>190738.81964049424</v>
      </c>
      <c r="K13" s="118">
        <f>+'Annual BS'!K52</f>
        <v>297042.71754802985</v>
      </c>
      <c r="L13" s="118">
        <f>+'Annual BS'!L52</f>
        <v>337695.34866405191</v>
      </c>
      <c r="M13" s="118">
        <f>+'Annual BS'!M52</f>
        <v>357516.81063798047</v>
      </c>
      <c r="O13" s="4"/>
    </row>
    <row r="14" spans="3:17" ht="15" customHeight="1" x14ac:dyDescent="0.25">
      <c r="C14" s="117" t="s">
        <v>352</v>
      </c>
      <c r="D14" s="118">
        <f>('Annual BS'!D70+'Annual BS'!D71+'Annual BS'!D72)-('Annual BS'!D63+'Annual BS'!D64+'Annual BS'!D65)</f>
        <v>109532</v>
      </c>
      <c r="E14" s="118">
        <f>('Annual BS'!E70+'Annual BS'!E71+'Annual BS'!E72)-('Annual BS'!E63+'Annual BS'!E64+'Annual BS'!E65)</f>
        <v>0</v>
      </c>
      <c r="F14" s="118">
        <f>('Annual BS'!F70+'Annual BS'!F71+'Annual BS'!F72)-('Annual BS'!F63+'Annual BS'!F64+'Annual BS'!F65)</f>
        <v>-1613</v>
      </c>
      <c r="G14" s="118">
        <f>('Annual BS'!G70+'Annual BS'!G71+'Annual BS'!G72)-('Annual BS'!G63+'Annual BS'!G64+'Annual BS'!G65)</f>
        <v>6398</v>
      </c>
      <c r="H14" s="118">
        <f>('Annual BS'!H70+'Annual BS'!H71+'Annual BS'!H72)-('Annual BS'!H63+'Annual BS'!H64+'Annual BS'!H65)</f>
        <v>17720</v>
      </c>
      <c r="I14" s="118">
        <f>('Annual BS'!I70+'Annual BS'!I71+'Annual BS'!I72)-('Annual BS'!I63+'Annual BS'!I64+'Annual BS'!I65)</f>
        <v>18149</v>
      </c>
      <c r="J14" s="118">
        <f>('Annual BS'!J70+'Annual BS'!J71+'Annual BS'!J72)-('Annual BS'!J63+'Annual BS'!J64+'Annual BS'!J65)</f>
        <v>27374</v>
      </c>
      <c r="K14" s="118">
        <f>('Annual BS'!K70+'Annual BS'!K71+'Annual BS'!K72)-('Annual BS'!K63+'Annual BS'!K64+'Annual BS'!K65)</f>
        <v>3230</v>
      </c>
      <c r="L14" s="118">
        <f>('Annual BS'!L70+'Annual BS'!L71+'Annual BS'!L72)-('Annual BS'!L63+'Annual BS'!L64+'Annual BS'!L65)</f>
        <v>21981</v>
      </c>
      <c r="M14" s="118">
        <f>('Annual BS'!M70+'Annual BS'!M71+'Annual BS'!M72)-('Annual BS'!M63+'Annual BS'!M64+'Annual BS'!M65)</f>
        <v>12315</v>
      </c>
      <c r="O14" s="4"/>
    </row>
    <row r="15" spans="3:17" ht="15" customHeight="1" x14ac:dyDescent="0.25">
      <c r="C15" s="117" t="s">
        <v>253</v>
      </c>
      <c r="D15" s="118">
        <f>+-('Annual BS'!D14+'Annual BS'!D22-'Annual BS'!D45-'Annual BS'!D51)</f>
        <v>275812</v>
      </c>
      <c r="E15" s="118">
        <f>+-('Annual BS'!E14+'Annual BS'!E22-'Annual BS'!E45-'Annual BS'!E51)</f>
        <v>277922</v>
      </c>
      <c r="F15" s="118">
        <f>+-('Annual BS'!F14+'Annual BS'!F22-'Annual BS'!F45-'Annual BS'!F51)</f>
        <v>241209</v>
      </c>
      <c r="G15" s="118">
        <f>+-('Annual BS'!G14+'Annual BS'!G22-'Annual BS'!G45-'Annual BS'!G51)</f>
        <v>229517</v>
      </c>
      <c r="H15" s="118">
        <f>+-('Annual BS'!H14+'Annual BS'!H22-'Annual BS'!H45-'Annual BS'!H51)</f>
        <v>226896</v>
      </c>
      <c r="I15" s="118">
        <f>+-('Annual BS'!I14+'Annual BS'!I22-'Annual BS'!I45-'Annual BS'!I51)</f>
        <v>226989.4245900641</v>
      </c>
      <c r="J15" s="118">
        <f>+-('Annual BS'!J14+'Annual BS'!J22-'Annual BS'!J45-'Annual BS'!J51)</f>
        <v>1348141</v>
      </c>
      <c r="K15" s="118">
        <f>+-('Annual BS'!K14+'Annual BS'!K22-'Annual BS'!K45-'Annual BS'!K51)</f>
        <v>1288050.350053913</v>
      </c>
      <c r="L15" s="118">
        <f>+-('Annual BS'!L14+'Annual BS'!L22-'Annual BS'!L45-'Annual BS'!L51)</f>
        <v>1151611.5773107929</v>
      </c>
      <c r="M15" s="118">
        <f>+-('Annual BS'!M14+'Annual BS'!M22-'Annual BS'!M45-'Annual BS'!M51)</f>
        <v>1026004.3011888865</v>
      </c>
      <c r="O15" s="4"/>
    </row>
    <row r="16" spans="3:17" ht="15" customHeight="1" x14ac:dyDescent="0.25">
      <c r="C16" s="117" t="s">
        <v>249</v>
      </c>
      <c r="D16" s="118">
        <f>+-'Annual BS'!D26</f>
        <v>-6356</v>
      </c>
      <c r="E16" s="118">
        <f>+-'Annual BS'!E26</f>
        <v>-5985</v>
      </c>
      <c r="F16" s="118">
        <f>+-'Annual BS'!F26</f>
        <v>-14245</v>
      </c>
      <c r="G16" s="118">
        <f>+-'Annual BS'!G26</f>
        <v>-8613</v>
      </c>
      <c r="H16" s="118">
        <f>+-'Annual BS'!H26</f>
        <v>-12770</v>
      </c>
      <c r="I16" s="118">
        <f>+-'Annual BS'!I26</f>
        <v>-97940.889199133308</v>
      </c>
      <c r="J16" s="118">
        <f>+-'Annual BS'!J26</f>
        <v>-24360</v>
      </c>
      <c r="K16" s="118">
        <f>+-'Annual BS'!K26</f>
        <v>-43725.789712353901</v>
      </c>
      <c r="L16" s="118">
        <f>+-'Annual BS'!L26</f>
        <v>-21402.568781965503</v>
      </c>
      <c r="M16" s="118">
        <f>+-'Annual BS'!M26</f>
        <v>-30136.4562713575</v>
      </c>
      <c r="O16" s="4"/>
    </row>
    <row r="17" spans="3:15" ht="15" customHeight="1" x14ac:dyDescent="0.25">
      <c r="C17" s="117" t="s">
        <v>286</v>
      </c>
      <c r="D17" s="118">
        <f>+-'Annual BS'!D86</f>
        <v>-762059</v>
      </c>
      <c r="E17" s="118">
        <f>+-'Annual BS'!E86</f>
        <v>-762059</v>
      </c>
      <c r="F17" s="118">
        <f>+-'Annual BS'!F86</f>
        <v>-762059</v>
      </c>
      <c r="G17" s="118">
        <f>+-'Annual BS'!G86</f>
        <v>-762059</v>
      </c>
      <c r="H17" s="118">
        <f>+-'Annual BS'!H86</f>
        <v>-762059</v>
      </c>
      <c r="I17" s="118">
        <f>+-'Annual BS'!I86</f>
        <v>-750708</v>
      </c>
      <c r="J17" s="118">
        <f>+-'Annual BS'!J86</f>
        <v>-7753556</v>
      </c>
      <c r="K17" s="118">
        <f>+-'Annual BS'!K86</f>
        <v>-7585123.7790000001</v>
      </c>
      <c r="L17" s="118">
        <f>+-'Annual BS'!L86</f>
        <v>-7538917.142</v>
      </c>
      <c r="M17" s="118">
        <f>+-'Annual BS'!M86</f>
        <v>-7462582.7999999998</v>
      </c>
      <c r="O17" s="4"/>
    </row>
    <row r="18" spans="3:15" ht="15" customHeight="1" x14ac:dyDescent="0.25">
      <c r="C18" s="117" t="s">
        <v>287</v>
      </c>
      <c r="D18" s="118">
        <f>+-'Annual BS'!D87-'Annual BS'!D88</f>
        <v>-978203</v>
      </c>
      <c r="E18" s="118">
        <f>+-'Annual BS'!E87-'Annual BS'!E88</f>
        <v>-837019</v>
      </c>
      <c r="F18" s="118">
        <f>+-'Annual BS'!F87-'Annual BS'!F88</f>
        <v>-695835</v>
      </c>
      <c r="G18" s="118">
        <f>+-'Annual BS'!G87-'Annual BS'!G88</f>
        <v>-554659</v>
      </c>
      <c r="H18" s="118">
        <f>+-'Annual BS'!H87-'Annual BS'!H88</f>
        <v>-413483</v>
      </c>
      <c r="I18" s="118">
        <f>+-'Annual BS'!I87-'Annual BS'!I88</f>
        <v>-272283.31</v>
      </c>
      <c r="J18" s="118">
        <f>+-'Annual BS'!J87-'Annual BS'!J88</f>
        <v>-5476085.7240000004</v>
      </c>
      <c r="K18" s="118">
        <f>+-'Annual BS'!K87-'Annual BS'!K88</f>
        <v>-5035377.5719999997</v>
      </c>
      <c r="L18" s="118">
        <f>+-'Annual BS'!L87-'Annual BS'!L88</f>
        <v>-4575055.2770000007</v>
      </c>
      <c r="M18" s="118">
        <f>+-'Annual BS'!M87-'Annual BS'!M88</f>
        <v>-4077055.5020000003</v>
      </c>
      <c r="O18" s="4"/>
    </row>
    <row r="19" spans="3:15" ht="15" customHeight="1" thickBot="1" x14ac:dyDescent="0.3">
      <c r="C19" s="150" t="s">
        <v>256</v>
      </c>
      <c r="D19" s="181">
        <f>-'Annual BS'!D91</f>
        <v>0</v>
      </c>
      <c r="E19" s="181">
        <f>-'Annual BS'!E91</f>
        <v>0</v>
      </c>
      <c r="F19" s="181">
        <f>-'Annual BS'!F91</f>
        <v>-1036675</v>
      </c>
      <c r="G19" s="181">
        <f>-'Annual BS'!G91</f>
        <v>0</v>
      </c>
      <c r="H19" s="181">
        <f>-'Annual BS'!H91</f>
        <v>0</v>
      </c>
      <c r="I19" s="181">
        <f>-'Annual BS'!I91</f>
        <v>0</v>
      </c>
      <c r="J19" s="181">
        <f>-'Annual BS'!J91</f>
        <v>0</v>
      </c>
      <c r="K19" s="181">
        <f>-'Annual BS'!K91</f>
        <v>0</v>
      </c>
      <c r="L19" s="181">
        <f>-'Annual BS'!L91</f>
        <v>0</v>
      </c>
      <c r="M19" s="181">
        <f>-'Annual BS'!M91</f>
        <v>0</v>
      </c>
      <c r="O19" s="4"/>
    </row>
    <row r="20" spans="3:15" ht="15" customHeight="1" thickBot="1" x14ac:dyDescent="0.3">
      <c r="C20" s="182" t="s">
        <v>257</v>
      </c>
      <c r="D20" s="183">
        <f t="shared" ref="D20:M20" si="0">+SUM(D11:D19)</f>
        <v>942514</v>
      </c>
      <c r="E20" s="183">
        <f>+SUM(E11:E19)</f>
        <v>1145224</v>
      </c>
      <c r="F20" s="183">
        <f t="shared" si="0"/>
        <v>1342816</v>
      </c>
      <c r="G20" s="183">
        <f t="shared" si="0"/>
        <v>1482916</v>
      </c>
      <c r="H20" s="183">
        <f t="shared" si="0"/>
        <v>1933044</v>
      </c>
      <c r="I20" s="183">
        <f t="shared" si="0"/>
        <v>2058075.623039634</v>
      </c>
      <c r="J20" s="183">
        <f t="shared" si="0"/>
        <v>2373055.5528885713</v>
      </c>
      <c r="K20" s="183">
        <f t="shared" si="0"/>
        <v>2770811.9962314554</v>
      </c>
      <c r="L20" s="183">
        <f t="shared" si="0"/>
        <v>2980770.1331723547</v>
      </c>
      <c r="M20" s="183">
        <f t="shared" si="0"/>
        <v>3278665.8303905511</v>
      </c>
      <c r="O20" s="4"/>
    </row>
    <row r="21" spans="3:15" ht="15.75" thickBot="1" x14ac:dyDescent="0.3">
      <c r="O21" s="4"/>
    </row>
    <row r="22" spans="3:15" ht="24.75" outlineLevel="1" thickBot="1" x14ac:dyDescent="0.3">
      <c r="C22" s="182" t="s">
        <v>351</v>
      </c>
      <c r="D22" s="212">
        <v>768395.375</v>
      </c>
      <c r="E22" s="212">
        <v>1007589.875</v>
      </c>
      <c r="F22" s="212">
        <v>1358971.3334999999</v>
      </c>
      <c r="G22" s="212">
        <v>1790245.625</v>
      </c>
      <c r="H22" s="212">
        <v>1723586.125</v>
      </c>
      <c r="I22" s="212">
        <v>1975826.7560000001</v>
      </c>
      <c r="J22" s="183">
        <v>2072452.999371341</v>
      </c>
      <c r="K22" s="212">
        <v>2590055.6206026333</v>
      </c>
      <c r="L22" s="212">
        <v>2918102.1313523045</v>
      </c>
      <c r="M22" s="212">
        <v>3132459.6439579804</v>
      </c>
      <c r="O22" s="4"/>
    </row>
    <row r="23" spans="3:15" ht="15.75" outlineLevel="1" thickBot="1" x14ac:dyDescent="0.3">
      <c r="O23" s="4"/>
    </row>
    <row r="24" spans="3:15" ht="15" customHeight="1" thickBot="1" x14ac:dyDescent="0.3">
      <c r="C24" s="182" t="s">
        <v>354</v>
      </c>
      <c r="D24" s="184">
        <f t="shared" ref="D24:M24" si="1">+D8/D22</f>
        <v>0.27758626215052368</v>
      </c>
      <c r="E24" s="184">
        <f t="shared" si="1"/>
        <v>0.2742187142362858</v>
      </c>
      <c r="F24" s="184">
        <f t="shared" si="1"/>
        <v>0.26652512166475373</v>
      </c>
      <c r="G24" s="184">
        <f t="shared" si="1"/>
        <v>0.20678726697069855</v>
      </c>
      <c r="H24" s="184">
        <f t="shared" si="1"/>
        <v>0.26038733631601968</v>
      </c>
      <c r="I24" s="184">
        <f t="shared" si="1"/>
        <v>0.27821265115006882</v>
      </c>
      <c r="J24" s="184">
        <f t="shared" si="1"/>
        <v>0.27611844257050011</v>
      </c>
      <c r="K24" s="184">
        <f t="shared" si="1"/>
        <v>0.22271128551652433</v>
      </c>
      <c r="L24" s="184">
        <f t="shared" si="1"/>
        <v>0.23781574030897085</v>
      </c>
      <c r="M24" s="184">
        <f t="shared" si="1"/>
        <v>0.26147819122817634</v>
      </c>
      <c r="O24" s="4"/>
    </row>
    <row r="25" spans="3:15" x14ac:dyDescent="0.25">
      <c r="D25" s="131"/>
      <c r="E25" s="131"/>
      <c r="F25" s="131"/>
      <c r="G25" s="131"/>
      <c r="H25" s="131"/>
      <c r="I25" s="131"/>
      <c r="J25" s="131"/>
      <c r="K25" s="131"/>
      <c r="L25" s="131"/>
      <c r="M25" s="131"/>
      <c r="O25" s="4"/>
    </row>
    <row r="26" spans="3:15" x14ac:dyDescent="0.25">
      <c r="C26" s="69" t="s">
        <v>92</v>
      </c>
      <c r="D26" s="155"/>
      <c r="E26" s="155"/>
      <c r="F26" s="155"/>
      <c r="G26" s="155"/>
      <c r="H26" s="155"/>
      <c r="I26" s="155"/>
      <c r="J26" s="155"/>
      <c r="K26" s="155"/>
      <c r="L26" s="155"/>
      <c r="M26" s="155"/>
    </row>
    <row r="27" spans="3:15" ht="51" customHeight="1" x14ac:dyDescent="0.25">
      <c r="C27" s="301" t="s">
        <v>355</v>
      </c>
      <c r="D27" s="301"/>
      <c r="E27" s="301"/>
      <c r="F27" s="301"/>
      <c r="G27" s="301"/>
      <c r="H27" s="301"/>
      <c r="I27" s="301"/>
      <c r="J27" s="301"/>
      <c r="K27" s="301"/>
      <c r="L27" s="301"/>
      <c r="M27" s="301"/>
    </row>
    <row r="28" spans="3:15" ht="15" customHeight="1" x14ac:dyDescent="0.25">
      <c r="C28" s="307" t="s">
        <v>330</v>
      </c>
      <c r="D28" s="307"/>
      <c r="E28" s="307"/>
      <c r="F28" s="307"/>
      <c r="G28" s="307"/>
      <c r="H28" s="307"/>
      <c r="I28" s="307"/>
      <c r="J28" s="307"/>
      <c r="K28" s="307"/>
      <c r="L28" s="307"/>
      <c r="M28" s="307"/>
    </row>
    <row r="29" spans="3:15" x14ac:dyDescent="0.25">
      <c r="C29" s="307" t="s">
        <v>353</v>
      </c>
      <c r="D29" s="307"/>
      <c r="E29" s="307"/>
      <c r="F29" s="307"/>
      <c r="G29" s="307"/>
      <c r="H29" s="307"/>
      <c r="I29" s="307"/>
      <c r="J29" s="307"/>
      <c r="K29" s="307"/>
      <c r="L29" s="307"/>
      <c r="M29" s="307"/>
    </row>
  </sheetData>
  <mergeCells count="3">
    <mergeCell ref="C28:M28"/>
    <mergeCell ref="C27:M27"/>
    <mergeCell ref="C29:M29"/>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O31"/>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56.140625" customWidth="1"/>
    <col min="4" max="13" width="11.7109375" customWidth="1"/>
    <col min="14" max="14" width="1.42578125" customWidth="1"/>
  </cols>
  <sheetData>
    <row r="1" spans="3:14" ht="4.5" customHeight="1" x14ac:dyDescent="0.25"/>
    <row r="2" spans="3:14" s="3" customFormat="1" ht="15.75" x14ac:dyDescent="0.25">
      <c r="C2" s="112" t="s">
        <v>268</v>
      </c>
    </row>
    <row r="3" spans="3:14" ht="18.75" customHeight="1"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156"/>
      <c r="D5" s="216"/>
      <c r="E5" s="215"/>
      <c r="F5" s="215"/>
      <c r="G5" s="215"/>
      <c r="H5" s="215"/>
      <c r="I5" s="215"/>
      <c r="J5" s="214"/>
      <c r="K5" s="217"/>
      <c r="L5" s="217"/>
      <c r="M5" s="217"/>
    </row>
    <row r="6" spans="3:14" s="4" customFormat="1" ht="13.5" thickBot="1" x14ac:dyDescent="0.25">
      <c r="C6" s="113" t="s">
        <v>16</v>
      </c>
      <c r="D6" s="114">
        <v>2015</v>
      </c>
      <c r="E6" s="114">
        <v>2016</v>
      </c>
      <c r="F6" s="114">
        <v>2017</v>
      </c>
      <c r="G6" s="114">
        <v>2018</v>
      </c>
      <c r="H6" s="114">
        <v>2019</v>
      </c>
      <c r="I6" s="114">
        <v>2020</v>
      </c>
      <c r="J6" s="114">
        <v>2021</v>
      </c>
      <c r="K6" s="114">
        <v>2022</v>
      </c>
      <c r="L6" s="114">
        <v>2023</v>
      </c>
      <c r="M6" s="114">
        <v>2024</v>
      </c>
      <c r="N6" s="157"/>
    </row>
    <row r="7" spans="3:14" s="4" customFormat="1" ht="14.25" thickTop="1" thickBot="1" x14ac:dyDescent="0.25">
      <c r="C7" s="185"/>
      <c r="D7" s="186"/>
      <c r="E7" s="186"/>
      <c r="F7" s="186"/>
      <c r="G7" s="186"/>
      <c r="H7" s="186"/>
      <c r="I7" s="186"/>
      <c r="J7" s="186"/>
      <c r="K7" s="186"/>
      <c r="L7" s="186"/>
      <c r="M7" s="186"/>
      <c r="N7" s="157"/>
    </row>
    <row r="8" spans="3:14" s="4" customFormat="1" ht="14.25" customHeight="1" thickBot="1" x14ac:dyDescent="0.25">
      <c r="C8" s="182" t="s">
        <v>242</v>
      </c>
      <c r="D8" s="183">
        <f>+'Annual Summary'!I65</f>
        <v>213.29599999999994</v>
      </c>
      <c r="E8" s="183">
        <f>+'Annual Summary'!J65</f>
        <v>276.29999999999995</v>
      </c>
      <c r="F8" s="183">
        <f>+'Annual Summary'!K65</f>
        <v>362.2000000000001</v>
      </c>
      <c r="G8" s="183">
        <f>+'Annual Summary'!L65</f>
        <v>370.20000000000005</v>
      </c>
      <c r="H8" s="183">
        <f>+'Annual Summary'!M65</f>
        <v>448.80000000000013</v>
      </c>
      <c r="I8" s="183">
        <f>+'Annual Summary'!N65</f>
        <v>549.70000000000016</v>
      </c>
      <c r="J8" s="183">
        <f>+'Annual Summary'!O65</f>
        <v>572.24249448697628</v>
      </c>
      <c r="K8" s="183">
        <f>+'Annual Summary'!P65</f>
        <v>576.83461682371171</v>
      </c>
      <c r="L8" s="183">
        <f>+'Annual Summary'!Q65</f>
        <v>693.97061866473393</v>
      </c>
      <c r="M8" s="183">
        <f>+'Annual Summary'!R65</f>
        <v>819.06988179739005</v>
      </c>
      <c r="N8" s="157"/>
    </row>
    <row r="9" spans="3:14" ht="14.25" customHeight="1" x14ac:dyDescent="0.25">
      <c r="C9" s="117" t="s">
        <v>20</v>
      </c>
      <c r="D9" s="118">
        <f>+-'Annual Summary'!I63</f>
        <v>147.58900000000006</v>
      </c>
      <c r="E9" s="118">
        <f>+-'Annual Summary'!J63</f>
        <v>176.55600000000004</v>
      </c>
      <c r="F9" s="118">
        <f>+-'Annual Summary'!K63</f>
        <v>195.35399999999998</v>
      </c>
      <c r="G9" s="118">
        <f>+-'Annual Summary'!L63</f>
        <v>240.41399999999987</v>
      </c>
      <c r="H9" s="118">
        <f>+-'Annual Summary'!M63</f>
        <v>312.28599999999977</v>
      </c>
      <c r="I9" s="118">
        <f>+-'Annual Summary'!N63</f>
        <v>369.86899999999969</v>
      </c>
      <c r="J9" s="118">
        <f>+-'Annual Summary'!O63</f>
        <v>475.59350551302373</v>
      </c>
      <c r="K9" s="118">
        <f>+-'Annual Summary'!P63</f>
        <v>574.97538317628823</v>
      </c>
      <c r="L9" s="118">
        <f>+-'Annual Summary'!Q63</f>
        <v>646.58538133526588</v>
      </c>
      <c r="M9" s="118">
        <f>+-'Annual Summary'!R63</f>
        <v>714.97111820260989</v>
      </c>
    </row>
    <row r="10" spans="3:14" ht="14.25" customHeight="1" x14ac:dyDescent="0.25">
      <c r="C10" s="193" t="s">
        <v>13</v>
      </c>
      <c r="D10" s="118">
        <f>-'Annual Summary'!I46</f>
        <v>160.93299999999999</v>
      </c>
      <c r="E10" s="118">
        <f>-'Annual Summary'!J46</f>
        <v>177.36099999999999</v>
      </c>
      <c r="F10" s="118">
        <f>-'Annual Summary'!K46</f>
        <v>202.81899999999999</v>
      </c>
      <c r="G10" s="118">
        <f>-'Annual Summary'!L46</f>
        <v>277.76799999999997</v>
      </c>
      <c r="H10" s="118">
        <f>-'Annual Summary'!M46</f>
        <v>316.29700000000003</v>
      </c>
      <c r="I10" s="118">
        <f>-'Annual Summary'!N46</f>
        <v>321.99900000000002</v>
      </c>
      <c r="J10" s="118">
        <f>-'Annual Summary'!O46</f>
        <v>421.13900000000001</v>
      </c>
      <c r="K10" s="118">
        <f>-'Annual Summary'!P46</f>
        <v>544.94899999999996</v>
      </c>
      <c r="L10" s="118">
        <f>-'Annual Summary'!Q46</f>
        <v>551.06299999999999</v>
      </c>
      <c r="M10" s="118">
        <f>-'Annual Summary'!R46</f>
        <v>627.44100000000003</v>
      </c>
    </row>
    <row r="11" spans="3:14" s="4" customFormat="1" ht="14.25" customHeight="1" x14ac:dyDescent="0.2">
      <c r="C11" s="193" t="s">
        <v>171</v>
      </c>
      <c r="D11" s="118">
        <f>'Annual Summary'!I136</f>
        <v>-60.5</v>
      </c>
      <c r="E11" s="118">
        <f>'Annual Summary'!J136</f>
        <v>-75.7</v>
      </c>
      <c r="F11" s="118">
        <f>'Annual Summary'!K136</f>
        <v>-40.151000000000003</v>
      </c>
      <c r="G11" s="118">
        <f>'Annual Summary'!L136</f>
        <v>-47.5</v>
      </c>
      <c r="H11" s="118">
        <f>'Annual Summary'!M136</f>
        <v>-52</v>
      </c>
      <c r="I11" s="118">
        <f>'Annual Summary'!N136</f>
        <v>-51.5</v>
      </c>
      <c r="J11" s="118">
        <f>'Annual Summary'!O136</f>
        <v>-68.7</v>
      </c>
      <c r="K11" s="118">
        <f>'Annual Summary'!P136</f>
        <v>-94.1</v>
      </c>
      <c r="L11" s="118">
        <f>'Annual Summary'!Q136</f>
        <v>-117.8</v>
      </c>
      <c r="M11" s="118">
        <f>'Annual Summary'!R136</f>
        <v>-155.1</v>
      </c>
      <c r="N11" s="157"/>
    </row>
    <row r="12" spans="3:14" s="4" customFormat="1" ht="14.25" customHeight="1" x14ac:dyDescent="0.2">
      <c r="C12" s="193" t="s">
        <v>177</v>
      </c>
      <c r="D12" s="118">
        <f>'Annual Summary'!I139</f>
        <v>0</v>
      </c>
      <c r="E12" s="118">
        <f>'Annual Summary'!J139</f>
        <v>0</v>
      </c>
      <c r="F12" s="118">
        <f>'Annual Summary'!K139</f>
        <v>-78.784000000000006</v>
      </c>
      <c r="G12" s="118">
        <f>'Annual Summary'!L139</f>
        <v>-92.7</v>
      </c>
      <c r="H12" s="118">
        <f>'Annual Summary'!M139</f>
        <v>-110.2</v>
      </c>
      <c r="I12" s="118">
        <f>'Annual Summary'!N139</f>
        <v>-124.2</v>
      </c>
      <c r="J12" s="118">
        <f>'Annual Summary'!O139</f>
        <v>-137.6</v>
      </c>
      <c r="K12" s="118">
        <f>'Annual Summary'!P139</f>
        <v>-154.4</v>
      </c>
      <c r="L12" s="118">
        <f>'Annual Summary'!Q139</f>
        <v>-155.9</v>
      </c>
      <c r="M12" s="118">
        <f>'Annual Summary'!R139</f>
        <v>-167.6</v>
      </c>
      <c r="N12" s="157"/>
    </row>
    <row r="13" spans="3:14" s="4" customFormat="1" ht="14.25" customHeight="1" x14ac:dyDescent="0.2">
      <c r="C13" s="66" t="s">
        <v>156</v>
      </c>
      <c r="D13" s="118">
        <f>'Annual Summary'!I83</f>
        <v>0</v>
      </c>
      <c r="E13" s="118">
        <f>'Annual Summary'!J83</f>
        <v>0</v>
      </c>
      <c r="F13" s="118">
        <f>'Annual Summary'!K83</f>
        <v>0</v>
      </c>
      <c r="G13" s="118">
        <f>'Annual Summary'!L83</f>
        <v>-8.6</v>
      </c>
      <c r="H13" s="118">
        <f>'Annual Summary'!M83</f>
        <v>-8.3000000000000007</v>
      </c>
      <c r="I13" s="118">
        <f>'Annual Summary'!N83</f>
        <v>-7.8</v>
      </c>
      <c r="J13" s="118">
        <f>'Annual Summary'!O83</f>
        <v>-9.8000000000000007</v>
      </c>
      <c r="K13" s="118">
        <f>'Annual Summary'!P83</f>
        <v>-8.8000000000000007</v>
      </c>
      <c r="L13" s="118">
        <f>'Annual Summary'!Q83</f>
        <v>-17.3</v>
      </c>
      <c r="M13" s="118">
        <f>'Annual Summary'!R83</f>
        <v>-16.7</v>
      </c>
      <c r="N13" s="157"/>
    </row>
    <row r="14" spans="3:14" s="4" customFormat="1" ht="14.25" customHeight="1" x14ac:dyDescent="0.2">
      <c r="C14" s="28" t="s">
        <v>269</v>
      </c>
      <c r="D14" s="118">
        <f>'Annual Summary'!I86</f>
        <v>9.5440000000000005</v>
      </c>
      <c r="E14" s="118">
        <f>'Annual Summary'!J86</f>
        <v>32.238999999999997</v>
      </c>
      <c r="F14" s="118">
        <f>'Annual Summary'!K86</f>
        <v>34.073999999999998</v>
      </c>
      <c r="G14" s="118">
        <f>'Annual Summary'!L86</f>
        <v>14.39</v>
      </c>
      <c r="H14" s="118">
        <f>'Annual Summary'!M86</f>
        <v>46.905999999999999</v>
      </c>
      <c r="I14" s="118">
        <f>'Annual Summary'!N86</f>
        <v>67.135508416164527</v>
      </c>
      <c r="J14" s="118">
        <f>'Annual Summary'!O86</f>
        <v>-244.43722727473465</v>
      </c>
      <c r="K14" s="118">
        <f>'Annual Summary'!P86</f>
        <v>-138.44467315487506</v>
      </c>
      <c r="L14" s="118">
        <f>'Annual Summary'!Q86</f>
        <v>86.31243220747335</v>
      </c>
      <c r="M14" s="118">
        <f>'Annual Summary'!R86</f>
        <v>-58.89787658454501</v>
      </c>
      <c r="N14" s="157"/>
    </row>
    <row r="15" spans="3:14" s="4" customFormat="1" ht="14.25" customHeight="1" thickBot="1" x14ac:dyDescent="0.25">
      <c r="C15" s="66" t="s">
        <v>357</v>
      </c>
      <c r="D15" s="118">
        <f>'Annual Summary'!I85</f>
        <v>0</v>
      </c>
      <c r="E15" s="118">
        <f>'Annual Summary'!J85</f>
        <v>0</v>
      </c>
      <c r="F15" s="118">
        <f>'Annual Summary'!K85</f>
        <v>0</v>
      </c>
      <c r="G15" s="118">
        <f>'Annual Summary'!L85</f>
        <v>0</v>
      </c>
      <c r="H15" s="118">
        <f>'Annual Summary'!M85</f>
        <v>-34.588999999999999</v>
      </c>
      <c r="I15" s="118">
        <f>'Annual Summary'!N85</f>
        <v>-42.078000000000003</v>
      </c>
      <c r="J15" s="118">
        <f>'Annual Summary'!O85</f>
        <v>-45.975999999999999</v>
      </c>
      <c r="K15" s="118">
        <f>'Annual Summary'!P85</f>
        <v>-49.154000000000003</v>
      </c>
      <c r="L15" s="118">
        <f>'Annual Summary'!Q85</f>
        <v>-54.421999999999997</v>
      </c>
      <c r="M15" s="118">
        <f>'Annual Summary'!R85</f>
        <v>-60.95</v>
      </c>
      <c r="N15" s="157"/>
    </row>
    <row r="16" spans="3:14" s="4" customFormat="1" ht="14.25" customHeight="1" thickBot="1" x14ac:dyDescent="0.25">
      <c r="C16" s="182" t="s">
        <v>270</v>
      </c>
      <c r="D16" s="183">
        <f t="shared" ref="D16:J16" si="0">SUM(D8:D15)</f>
        <v>470.86199999999997</v>
      </c>
      <c r="E16" s="183">
        <f t="shared" si="0"/>
        <v>586.75599999999997</v>
      </c>
      <c r="F16" s="183">
        <f t="shared" si="0"/>
        <v>675.51200000000006</v>
      </c>
      <c r="G16" s="183">
        <f t="shared" si="0"/>
        <v>753.97199999999975</v>
      </c>
      <c r="H16" s="183">
        <f t="shared" si="0"/>
        <v>919.19999999999982</v>
      </c>
      <c r="I16" s="183">
        <f t="shared" si="0"/>
        <v>1083.1255084161644</v>
      </c>
      <c r="J16" s="183">
        <f t="shared" si="0"/>
        <v>962.4617727252654</v>
      </c>
      <c r="K16" s="183">
        <f t="shared" ref="K16:M16" si="1">SUM(K8:K15)</f>
        <v>1251.860326845125</v>
      </c>
      <c r="L16" s="183">
        <f t="shared" si="1"/>
        <v>1632.5094322074731</v>
      </c>
      <c r="M16" s="183">
        <f t="shared" si="1"/>
        <v>1702.2341234154551</v>
      </c>
      <c r="N16" s="157"/>
    </row>
    <row r="17" spans="3:15" s="4" customFormat="1" ht="14.25" customHeight="1" x14ac:dyDescent="0.2">
      <c r="C17" s="194"/>
      <c r="D17" s="122"/>
      <c r="E17" s="122"/>
      <c r="F17" s="122"/>
      <c r="G17" s="122"/>
      <c r="H17" s="122"/>
      <c r="I17" s="122"/>
      <c r="J17" s="122"/>
      <c r="K17" s="122"/>
      <c r="L17" s="122"/>
      <c r="M17" s="122"/>
      <c r="N17" s="157"/>
    </row>
    <row r="18" spans="3:15" s="4" customFormat="1" ht="14.25" customHeight="1" thickBot="1" x14ac:dyDescent="0.25">
      <c r="C18" s="66" t="s">
        <v>271</v>
      </c>
      <c r="D18" s="118">
        <f>'Annual Summary'!I78</f>
        <v>-148.37838107710363</v>
      </c>
      <c r="E18" s="118">
        <f>'Annual Summary'!J78</f>
        <v>-167.81056698231828</v>
      </c>
      <c r="F18" s="118">
        <f>'Annual Summary'!K78</f>
        <v>-179.02043588734713</v>
      </c>
      <c r="G18" s="118">
        <f>'Annual Summary'!L78</f>
        <v>-208.74433720695694</v>
      </c>
      <c r="H18" s="118">
        <f>'Annual Summary'!M78</f>
        <v>-236.08237669571304</v>
      </c>
      <c r="I18" s="118">
        <f>'Annual Summary'!N78</f>
        <v>-274.59300935337876</v>
      </c>
      <c r="J18" s="118">
        <f>'Annual Summary'!O78</f>
        <v>-325.25881533115989</v>
      </c>
      <c r="K18" s="118">
        <f>'Annual Summary'!P78</f>
        <v>-457.08771351630344</v>
      </c>
      <c r="L18" s="118">
        <f>'Annual Summary'!Q78</f>
        <v>-532.72617499799321</v>
      </c>
      <c r="M18" s="118">
        <f>'Annual Summary'!R78</f>
        <v>-576.93473376711529</v>
      </c>
      <c r="N18" s="157"/>
    </row>
    <row r="19" spans="3:15" s="4" customFormat="1" ht="14.25" customHeight="1" thickBot="1" x14ac:dyDescent="0.25">
      <c r="C19" s="182" t="s">
        <v>356</v>
      </c>
      <c r="D19" s="183">
        <f>D16+D18</f>
        <v>322.48361892289631</v>
      </c>
      <c r="E19" s="183">
        <f t="shared" ref="E19:J19" si="2">E16+E18</f>
        <v>418.94543301768169</v>
      </c>
      <c r="F19" s="183">
        <f t="shared" si="2"/>
        <v>496.4915641126529</v>
      </c>
      <c r="G19" s="183">
        <f t="shared" si="2"/>
        <v>545.22766279304278</v>
      </c>
      <c r="H19" s="183">
        <f t="shared" si="2"/>
        <v>683.11762330428678</v>
      </c>
      <c r="I19" s="183">
        <f t="shared" si="2"/>
        <v>808.53249906278563</v>
      </c>
      <c r="J19" s="183">
        <f t="shared" si="2"/>
        <v>637.20295739410551</v>
      </c>
      <c r="K19" s="183">
        <f t="shared" ref="K19:M19" si="3">K16+K18</f>
        <v>794.77261332882154</v>
      </c>
      <c r="L19" s="183">
        <f t="shared" si="3"/>
        <v>1099.7832572094799</v>
      </c>
      <c r="M19" s="183">
        <f t="shared" si="3"/>
        <v>1125.2993896483399</v>
      </c>
      <c r="N19" s="157"/>
    </row>
    <row r="20" spans="3:15" s="4" customFormat="1" ht="14.25" customHeight="1" x14ac:dyDescent="0.2">
      <c r="C20" s="66"/>
      <c r="D20" s="118"/>
      <c r="E20" s="118"/>
      <c r="F20" s="118"/>
      <c r="G20" s="118"/>
      <c r="H20" s="118"/>
      <c r="I20" s="118"/>
      <c r="J20" s="118"/>
      <c r="K20" s="118"/>
      <c r="L20" s="118"/>
      <c r="M20" s="118"/>
      <c r="N20" s="157"/>
    </row>
    <row r="21" spans="3:15" s="4" customFormat="1" ht="14.25" customHeight="1" thickBot="1" x14ac:dyDescent="0.25">
      <c r="C21" s="66" t="s">
        <v>272</v>
      </c>
      <c r="D21" s="118">
        <f>'Annual Summary'!I79</f>
        <v>-205.97961892289638</v>
      </c>
      <c r="E21" s="118">
        <f>'Annual Summary'!J79</f>
        <v>-254.88843301768168</v>
      </c>
      <c r="F21" s="118">
        <f>'Annual Summary'!K79</f>
        <v>-334.20556411265284</v>
      </c>
      <c r="G21" s="118">
        <f>'Annual Summary'!L79</f>
        <v>-420.32766279304292</v>
      </c>
      <c r="H21" s="118">
        <f>'Annual Summary'!M79</f>
        <v>-502.65962330428692</v>
      </c>
      <c r="I21" s="118">
        <f>'Annual Summary'!N79</f>
        <v>-498.77999064662129</v>
      </c>
      <c r="J21" s="118">
        <f>'Annual Summary'!O79</f>
        <v>-642.32018466884017</v>
      </c>
      <c r="K21" s="118">
        <f>'Annual Summary'!P79</f>
        <v>-671.59928648369646</v>
      </c>
      <c r="L21" s="118">
        <f>'Annual Summary'!Q79</f>
        <v>-595.79382500200677</v>
      </c>
      <c r="M21" s="118">
        <f>'Annual Summary'!R79</f>
        <v>-630.95826623288474</v>
      </c>
      <c r="N21" s="157"/>
    </row>
    <row r="22" spans="3:15" s="4" customFormat="1" ht="14.25" customHeight="1" thickBot="1" x14ac:dyDescent="0.25">
      <c r="C22" s="182" t="s">
        <v>273</v>
      </c>
      <c r="D22" s="183">
        <f>D19+D21</f>
        <v>116.50399999999993</v>
      </c>
      <c r="E22" s="183">
        <f t="shared" ref="E22:J22" si="4">E19+E21</f>
        <v>164.05700000000002</v>
      </c>
      <c r="F22" s="183">
        <f t="shared" si="4"/>
        <v>162.28600000000006</v>
      </c>
      <c r="G22" s="183">
        <f t="shared" si="4"/>
        <v>124.89999999999986</v>
      </c>
      <c r="H22" s="183">
        <f t="shared" si="4"/>
        <v>180.45799999999986</v>
      </c>
      <c r="I22" s="183">
        <f t="shared" si="4"/>
        <v>309.75250841616435</v>
      </c>
      <c r="J22" s="183">
        <f t="shared" si="4"/>
        <v>-5.1172272747346597</v>
      </c>
      <c r="K22" s="183">
        <f t="shared" ref="K22:M22" si="5">K19+K21</f>
        <v>123.17332684512508</v>
      </c>
      <c r="L22" s="183">
        <f t="shared" si="5"/>
        <v>503.9894322074731</v>
      </c>
      <c r="M22" s="183">
        <f t="shared" si="5"/>
        <v>494.34112341545517</v>
      </c>
      <c r="N22" s="157"/>
    </row>
    <row r="23" spans="3:15" s="198" customFormat="1" ht="14.25" customHeight="1" thickBot="1" x14ac:dyDescent="0.25">
      <c r="C23" s="195" t="s">
        <v>274</v>
      </c>
      <c r="D23" s="196">
        <f>D22/D$8</f>
        <v>0.54620808641512253</v>
      </c>
      <c r="E23" s="196">
        <f t="shared" ref="E23:J23" si="6">E22/E$8</f>
        <v>0.59376402461093025</v>
      </c>
      <c r="F23" s="196">
        <f t="shared" si="6"/>
        <v>0.44805632247377142</v>
      </c>
      <c r="G23" s="196">
        <f t="shared" si="6"/>
        <v>0.33738519719070731</v>
      </c>
      <c r="H23" s="196">
        <f t="shared" si="6"/>
        <v>0.40209001782531151</v>
      </c>
      <c r="I23" s="196">
        <f t="shared" si="6"/>
        <v>0.56349373915984036</v>
      </c>
      <c r="J23" s="196">
        <f t="shared" si="6"/>
        <v>-8.9424104711453289E-3</v>
      </c>
      <c r="K23" s="196">
        <f t="shared" ref="K23:M23" si="7">K22/K$8</f>
        <v>0.21353317441898337</v>
      </c>
      <c r="L23" s="196">
        <f t="shared" si="7"/>
        <v>0.72624030276266904</v>
      </c>
      <c r="M23" s="196">
        <f t="shared" si="7"/>
        <v>0.60353961780484355</v>
      </c>
      <c r="N23" s="197"/>
    </row>
    <row r="24" spans="3:15" s="4" customFormat="1" ht="14.25" customHeight="1" thickBot="1" x14ac:dyDescent="0.25">
      <c r="C24" s="182" t="s">
        <v>275</v>
      </c>
      <c r="D24" s="183">
        <f t="shared" ref="D24:J24" si="8">D22-D14</f>
        <v>106.95999999999994</v>
      </c>
      <c r="E24" s="183">
        <f t="shared" si="8"/>
        <v>131.81800000000001</v>
      </c>
      <c r="F24" s="183">
        <f t="shared" si="8"/>
        <v>128.21200000000005</v>
      </c>
      <c r="G24" s="183">
        <f t="shared" si="8"/>
        <v>110.50999999999986</v>
      </c>
      <c r="H24" s="183">
        <f t="shared" si="8"/>
        <v>133.55199999999985</v>
      </c>
      <c r="I24" s="183">
        <f t="shared" si="8"/>
        <v>242.61699999999982</v>
      </c>
      <c r="J24" s="183">
        <f t="shared" si="8"/>
        <v>239.32</v>
      </c>
      <c r="K24" s="183">
        <f t="shared" ref="K24:M24" si="9">K22-K14</f>
        <v>261.61800000000017</v>
      </c>
      <c r="L24" s="183">
        <f t="shared" si="9"/>
        <v>417.67699999999974</v>
      </c>
      <c r="M24" s="183">
        <f t="shared" si="9"/>
        <v>553.23900000000015</v>
      </c>
      <c r="N24" s="157"/>
    </row>
    <row r="25" spans="3:15" ht="14.25" customHeight="1" x14ac:dyDescent="0.25">
      <c r="C25" s="195" t="s">
        <v>276</v>
      </c>
      <c r="D25" s="196">
        <f t="shared" ref="D25:J25" si="10">D24/D$8</f>
        <v>0.50146275598229673</v>
      </c>
      <c r="E25" s="196">
        <f t="shared" si="10"/>
        <v>0.47708288092652928</v>
      </c>
      <c r="F25" s="196">
        <f t="shared" si="10"/>
        <v>0.35398122584207625</v>
      </c>
      <c r="G25" s="196">
        <f t="shared" si="10"/>
        <v>0.29851431658562899</v>
      </c>
      <c r="H25" s="196">
        <f t="shared" si="10"/>
        <v>0.29757575757575716</v>
      </c>
      <c r="I25" s="196">
        <f t="shared" si="10"/>
        <v>0.44136256139712526</v>
      </c>
      <c r="J25" s="196">
        <f t="shared" si="10"/>
        <v>0.41821431002699977</v>
      </c>
      <c r="K25" s="196">
        <f t="shared" ref="K25:M25" si="11">K24/K$8</f>
        <v>0.45354074178241299</v>
      </c>
      <c r="L25" s="196">
        <f t="shared" si="11"/>
        <v>0.60186553834750289</v>
      </c>
      <c r="M25" s="196">
        <f t="shared" si="11"/>
        <v>0.67544786140342128</v>
      </c>
    </row>
    <row r="27" spans="3:15" x14ac:dyDescent="0.25">
      <c r="C27" s="69" t="s">
        <v>92</v>
      </c>
      <c r="D27" s="155"/>
      <c r="E27" s="155"/>
      <c r="F27" s="155"/>
      <c r="G27" s="155"/>
      <c r="H27" s="155"/>
      <c r="I27" s="155"/>
      <c r="J27" s="155"/>
      <c r="K27" s="155"/>
      <c r="L27" s="155"/>
      <c r="M27" s="155"/>
    </row>
    <row r="28" spans="3:15" ht="35.1" customHeight="1" x14ac:dyDescent="0.25">
      <c r="C28" s="301" t="s">
        <v>355</v>
      </c>
      <c r="D28" s="301"/>
      <c r="E28" s="301"/>
      <c r="F28" s="301"/>
      <c r="G28" s="301"/>
      <c r="H28" s="301"/>
      <c r="I28" s="301"/>
      <c r="J28" s="301"/>
      <c r="K28" s="301"/>
      <c r="L28" s="301"/>
      <c r="M28" s="301"/>
    </row>
    <row r="29" spans="3:15" ht="15" customHeight="1" x14ac:dyDescent="0.25">
      <c r="C29" s="307" t="s">
        <v>238</v>
      </c>
      <c r="D29" s="307"/>
      <c r="E29" s="307"/>
      <c r="F29" s="307"/>
      <c r="G29" s="307"/>
      <c r="H29" s="307"/>
      <c r="I29" s="307"/>
      <c r="J29" s="307"/>
      <c r="K29" s="307"/>
      <c r="L29" s="307"/>
      <c r="M29" s="307"/>
    </row>
    <row r="30" spans="3:15" ht="23.25" customHeight="1" x14ac:dyDescent="0.25">
      <c r="C30" s="307" t="s">
        <v>358</v>
      </c>
      <c r="D30" s="307"/>
      <c r="E30" s="307"/>
      <c r="F30" s="307"/>
      <c r="G30" s="307"/>
      <c r="H30" s="307"/>
      <c r="I30" s="307"/>
      <c r="J30" s="307"/>
      <c r="K30" s="307"/>
      <c r="L30" s="307"/>
      <c r="M30" s="307"/>
      <c r="N30" s="107"/>
      <c r="O30" s="107"/>
    </row>
    <row r="31" spans="3:15" x14ac:dyDescent="0.25">
      <c r="C31" s="68" t="s">
        <v>359</v>
      </c>
    </row>
  </sheetData>
  <mergeCells count="3">
    <mergeCell ref="C29:M29"/>
    <mergeCell ref="C30:M30"/>
    <mergeCell ref="C28:M28"/>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C159"/>
  <sheetViews>
    <sheetView showGridLines="0" view="pageBreakPreview" zoomScaleNormal="115" zoomScaleSheetLayoutView="100" workbookViewId="0">
      <pane xSplit="7" ySplit="6" topLeftCell="L7" activePane="bottomRight" state="frozen"/>
      <selection pane="topRight" activeCell="H1" sqref="H1"/>
      <selection pane="bottomLeft" activeCell="A7" sqref="A7"/>
      <selection pane="bottomRight" activeCell="L7" sqref="L7"/>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55.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5" width="12.7109375" style="6" customWidth="1"/>
    <col min="26" max="26" width="1.7109375" style="6" customWidth="1"/>
    <col min="27" max="16384" width="9.140625" style="6"/>
  </cols>
  <sheetData>
    <row r="1" spans="1:25" ht="5.25" customHeight="1" x14ac:dyDescent="0.2"/>
    <row r="2" spans="1:25" ht="14.1" customHeight="1" x14ac:dyDescent="0.25">
      <c r="C2" s="50" t="s">
        <v>187</v>
      </c>
      <c r="K2" s="73"/>
      <c r="L2" s="73"/>
      <c r="M2" s="73"/>
      <c r="N2" s="73"/>
      <c r="O2" s="73"/>
      <c r="P2" s="73"/>
      <c r="Q2" s="73"/>
      <c r="R2" s="73"/>
      <c r="S2" s="73"/>
      <c r="T2" s="73"/>
      <c r="U2" s="73"/>
      <c r="V2" s="73"/>
      <c r="W2" s="73"/>
      <c r="X2" s="73"/>
      <c r="Y2" s="73"/>
    </row>
    <row r="3" spans="1:25" ht="14.1" customHeight="1" x14ac:dyDescent="0.25">
      <c r="C3" s="50"/>
      <c r="K3" s="73"/>
      <c r="L3" s="73"/>
      <c r="M3" s="73"/>
      <c r="N3" s="73"/>
      <c r="O3" s="73"/>
      <c r="P3" s="73"/>
      <c r="Q3" s="73"/>
      <c r="R3" s="73"/>
      <c r="S3" s="73"/>
      <c r="T3" s="73"/>
      <c r="U3" s="73"/>
      <c r="V3" s="73"/>
      <c r="W3" s="73"/>
      <c r="X3" s="73"/>
      <c r="Y3" s="73"/>
    </row>
    <row r="4" spans="1:25" ht="14.1" customHeight="1" x14ac:dyDescent="0.2">
      <c r="C4" s="240" t="s">
        <v>289</v>
      </c>
      <c r="G4" s="6"/>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c r="V4" s="214" t="s">
        <v>293</v>
      </c>
      <c r="W4" s="214" t="s">
        <v>293</v>
      </c>
      <c r="X4" s="214" t="s">
        <v>293</v>
      </c>
      <c r="Y4" s="214" t="s">
        <v>293</v>
      </c>
    </row>
    <row r="5" spans="1:25" ht="5.0999999999999996" customHeight="1" x14ac:dyDescent="0.25">
      <c r="C5" s="50"/>
      <c r="K5" s="73"/>
      <c r="L5" s="73"/>
      <c r="M5" s="73"/>
      <c r="N5" s="73"/>
      <c r="O5" s="73"/>
      <c r="P5" s="73"/>
      <c r="Q5" s="73"/>
      <c r="R5" s="73"/>
      <c r="S5" s="73"/>
      <c r="T5" s="73"/>
      <c r="U5" s="73"/>
      <c r="V5" s="73"/>
      <c r="W5" s="73"/>
      <c r="X5" s="73"/>
      <c r="Y5" s="73"/>
    </row>
    <row r="6" spans="1:25" s="7" customFormat="1" ht="14.1" customHeight="1" thickBot="1" x14ac:dyDescent="0.3">
      <c r="C6" s="100" t="s">
        <v>189</v>
      </c>
      <c r="D6" s="8"/>
      <c r="E6" s="9"/>
      <c r="F6" s="9"/>
      <c r="G6" s="38" t="s">
        <v>140</v>
      </c>
      <c r="H6" s="10" t="s">
        <v>172</v>
      </c>
      <c r="I6" s="10" t="s">
        <v>173</v>
      </c>
      <c r="J6" s="10" t="s">
        <v>174</v>
      </c>
      <c r="K6" s="10" t="s">
        <v>74</v>
      </c>
      <c r="L6" s="10" t="s">
        <v>62</v>
      </c>
      <c r="M6" s="10" t="s">
        <v>72</v>
      </c>
      <c r="N6" s="10" t="s">
        <v>71</v>
      </c>
      <c r="O6" s="10" t="s">
        <v>70</v>
      </c>
      <c r="P6" s="10" t="s">
        <v>66</v>
      </c>
      <c r="Q6" s="10" t="s">
        <v>67</v>
      </c>
      <c r="R6" s="10" t="s">
        <v>68</v>
      </c>
      <c r="S6" s="10" t="s">
        <v>69</v>
      </c>
      <c r="T6" s="10" t="s">
        <v>65</v>
      </c>
      <c r="U6" s="10" t="s">
        <v>64</v>
      </c>
      <c r="V6" s="10" t="s">
        <v>63</v>
      </c>
      <c r="W6" s="10" t="s">
        <v>203</v>
      </c>
      <c r="X6" s="10" t="s">
        <v>279</v>
      </c>
      <c r="Y6" s="10" t="s">
        <v>409</v>
      </c>
    </row>
    <row r="7" spans="1:25" s="7" customFormat="1" ht="14.1" customHeight="1" thickTop="1" x14ac:dyDescent="0.25">
      <c r="C7" s="83"/>
      <c r="D7" s="83"/>
      <c r="E7" s="84"/>
      <c r="F7" s="84"/>
      <c r="G7" s="85"/>
      <c r="H7" s="86"/>
      <c r="I7" s="86"/>
      <c r="J7" s="86"/>
      <c r="K7" s="86"/>
      <c r="L7" s="86"/>
      <c r="M7" s="86"/>
      <c r="N7" s="86"/>
      <c r="O7" s="86"/>
      <c r="P7" s="86"/>
      <c r="Q7" s="86"/>
      <c r="R7" s="86"/>
      <c r="S7" s="86"/>
      <c r="T7" s="86"/>
      <c r="U7" s="86"/>
      <c r="V7" s="86"/>
      <c r="W7" s="86"/>
      <c r="X7" s="86"/>
      <c r="Y7" s="86"/>
    </row>
    <row r="8" spans="1:25" s="7" customFormat="1" ht="14.1" customHeight="1" x14ac:dyDescent="0.25">
      <c r="C8" s="47" t="s">
        <v>190</v>
      </c>
      <c r="D8" s="47"/>
      <c r="G8" s="41"/>
      <c r="H8" s="41"/>
      <c r="I8" s="41"/>
      <c r="J8" s="41"/>
      <c r="P8" s="65"/>
    </row>
    <row r="9" spans="1:25" s="7" customFormat="1" ht="14.1" customHeight="1" x14ac:dyDescent="0.25">
      <c r="D9" s="12" t="s">
        <v>101</v>
      </c>
      <c r="E9" s="12"/>
      <c r="F9" s="12"/>
      <c r="G9" s="48" t="s">
        <v>141</v>
      </c>
      <c r="H9" s="48"/>
      <c r="I9" s="48"/>
      <c r="J9" s="48"/>
      <c r="K9" s="49"/>
      <c r="L9" s="49">
        <v>202.90100000000001</v>
      </c>
      <c r="M9" s="49">
        <v>205.61199999999999</v>
      </c>
      <c r="N9" s="49">
        <v>197.98099999999999</v>
      </c>
      <c r="O9" s="49">
        <v>195.60400000000001</v>
      </c>
      <c r="P9" s="49">
        <v>201.34899999999999</v>
      </c>
      <c r="Q9" s="49">
        <v>200.71</v>
      </c>
      <c r="R9" s="49">
        <v>196.489</v>
      </c>
      <c r="S9" s="49">
        <v>198.76400000000001</v>
      </c>
      <c r="T9" s="49">
        <v>210.14400000000001</v>
      </c>
      <c r="U9" s="49">
        <v>214.37899999999999</v>
      </c>
      <c r="V9" s="49">
        <v>203.84800000000001</v>
      </c>
      <c r="W9" s="49">
        <v>211.375</v>
      </c>
      <c r="X9" s="49">
        <v>217.114</v>
      </c>
      <c r="Y9" s="49">
        <v>217.285</v>
      </c>
    </row>
    <row r="10" spans="1:25" s="7" customFormat="1" ht="14.1" customHeight="1" x14ac:dyDescent="0.25">
      <c r="D10" s="13" t="s">
        <v>90</v>
      </c>
      <c r="E10" s="14"/>
      <c r="F10" s="14"/>
      <c r="G10" s="15" t="s">
        <v>141</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row>
    <row r="11" spans="1:25" s="7" customFormat="1" ht="14.1" hidden="1" customHeight="1" outlineLevel="1" x14ac:dyDescent="0.25">
      <c r="D11" s="13" t="s">
        <v>186</v>
      </c>
      <c r="E11" s="13"/>
      <c r="F11" s="13"/>
      <c r="G11" s="40" t="s">
        <v>141</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row>
    <row r="12" spans="1:25" s="20" customFormat="1" ht="14.1" customHeight="1" collapsed="1" x14ac:dyDescent="0.25">
      <c r="A12" s="7"/>
      <c r="B12" s="7"/>
      <c r="C12" s="7"/>
      <c r="D12" s="19" t="s">
        <v>145</v>
      </c>
      <c r="E12" s="13"/>
      <c r="F12" s="13"/>
      <c r="G12" s="40" t="s">
        <v>141</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row>
    <row r="13" spans="1:25" s="20" customFormat="1" ht="14.1" customHeight="1" x14ac:dyDescent="0.25">
      <c r="A13" s="7"/>
      <c r="B13" s="7"/>
      <c r="C13" s="7"/>
      <c r="D13" s="34" t="s">
        <v>146</v>
      </c>
      <c r="E13" s="13"/>
      <c r="F13" s="13"/>
      <c r="G13" s="40" t="s">
        <v>141</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V12-R12</f>
        <v>429.55400000000009</v>
      </c>
      <c r="W13" s="18">
        <f>W12-S12</f>
        <v>438.65300000000025</v>
      </c>
      <c r="X13" s="18">
        <f>X12-T12</f>
        <v>440.39699999999993</v>
      </c>
      <c r="Y13" s="18">
        <f>Y12-U12</f>
        <v>435.99600000000009</v>
      </c>
    </row>
    <row r="14" spans="1:25" s="7" customFormat="1" ht="14.1" customHeight="1" x14ac:dyDescent="0.25">
      <c r="D14" s="34" t="s">
        <v>146</v>
      </c>
      <c r="E14" s="34"/>
      <c r="F14" s="13"/>
      <c r="G14" s="22" t="s">
        <v>144</v>
      </c>
      <c r="H14" s="22"/>
      <c r="I14" s="22"/>
      <c r="J14" s="22"/>
      <c r="K14" s="13"/>
      <c r="L14" s="36">
        <f>+IFERROR(L12/H12-1,"n.a.")</f>
        <v>0.13325388697610063</v>
      </c>
      <c r="M14" s="36">
        <f t="shared" ref="M14:Y14" si="15">+IFERROR(M12/I12-1,"n.a.")</f>
        <v>0.12670909490731752</v>
      </c>
      <c r="N14" s="36">
        <f t="shared" si="15"/>
        <v>0.12023239604762725</v>
      </c>
      <c r="O14" s="36">
        <f t="shared" si="15"/>
        <v>0.11164662336043052</v>
      </c>
      <c r="P14" s="36">
        <f t="shared" si="15"/>
        <v>0.10397704129790353</v>
      </c>
      <c r="Q14" s="36">
        <f t="shared" si="15"/>
        <v>9.6544522037475877E-2</v>
      </c>
      <c r="R14" s="36">
        <f t="shared" si="15"/>
        <v>9.1995346291780855E-2</v>
      </c>
      <c r="S14" s="36">
        <f t="shared" si="15"/>
        <v>8.8578789532284485E-2</v>
      </c>
      <c r="T14" s="36">
        <f t="shared" si="15"/>
        <v>8.6914472239730145E-2</v>
      </c>
      <c r="U14" s="36">
        <f t="shared" si="15"/>
        <v>8.6335312683978538E-2</v>
      </c>
      <c r="V14" s="36">
        <f t="shared" si="15"/>
        <v>8.4687789753060239E-2</v>
      </c>
      <c r="W14" s="36">
        <f t="shared" si="15"/>
        <v>8.4796111835380161E-2</v>
      </c>
      <c r="X14" s="36">
        <f t="shared" si="15"/>
        <v>8.3375756686529412E-2</v>
      </c>
      <c r="Y14" s="36">
        <f t="shared" si="15"/>
        <v>8.0808747293530825E-2</v>
      </c>
    </row>
    <row r="15" spans="1:25" s="20" customFormat="1" ht="14.1" customHeight="1" x14ac:dyDescent="0.25">
      <c r="A15" s="7"/>
      <c r="B15" s="7"/>
      <c r="C15" s="7"/>
      <c r="D15" s="19" t="s">
        <v>165</v>
      </c>
      <c r="E15" s="13"/>
      <c r="F15" s="13"/>
      <c r="G15" s="40" t="s">
        <v>141</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row>
    <row r="16" spans="1:25" s="7" customFormat="1" ht="14.1" customHeight="1" x14ac:dyDescent="0.25">
      <c r="D16" s="19" t="s">
        <v>88</v>
      </c>
      <c r="E16" s="13"/>
      <c r="F16" s="13"/>
      <c r="G16" s="22" t="s">
        <v>144</v>
      </c>
      <c r="H16" s="22"/>
      <c r="I16" s="22"/>
      <c r="J16" s="22"/>
      <c r="K16" s="23"/>
      <c r="L16" s="225">
        <f t="shared" ref="L16:Y16" si="16">-SUM(I10:L10)/AVERAGE(I15:L15)</f>
        <v>6.4795431354825558E-2</v>
      </c>
      <c r="M16" s="225">
        <f t="shared" si="16"/>
        <v>6.6497465669771216E-2</v>
      </c>
      <c r="N16" s="225">
        <f t="shared" si="16"/>
        <v>6.8899242524654195E-2</v>
      </c>
      <c r="O16" s="225">
        <f t="shared" si="16"/>
        <v>7.1820770443524667E-2</v>
      </c>
      <c r="P16" s="225">
        <f t="shared" si="16"/>
        <v>7.3896284181261429E-2</v>
      </c>
      <c r="Q16" s="225">
        <f t="shared" si="16"/>
        <v>7.5429343242061825E-2</v>
      </c>
      <c r="R16" s="225">
        <f t="shared" si="16"/>
        <v>7.5498969522819287E-2</v>
      </c>
      <c r="S16" s="225">
        <f t="shared" si="16"/>
        <v>7.5813829819377204E-2</v>
      </c>
      <c r="T16" s="225">
        <f t="shared" si="16"/>
        <v>7.5690328643202021E-2</v>
      </c>
      <c r="U16" s="225">
        <f t="shared" si="16"/>
        <v>7.5539027481607193E-2</v>
      </c>
      <c r="V16" s="225">
        <f t="shared" si="16"/>
        <v>7.5254895859241236E-2</v>
      </c>
      <c r="W16" s="225">
        <f t="shared" si="16"/>
        <v>7.4391594792510479E-2</v>
      </c>
      <c r="X16" s="225">
        <f t="shared" si="16"/>
        <v>7.386808369570938E-2</v>
      </c>
      <c r="Y16" s="225">
        <f t="shared" si="16"/>
        <v>7.3725988368121401E-2</v>
      </c>
    </row>
    <row r="17" spans="3:25" s="7" customFormat="1" ht="14.1" customHeight="1" x14ac:dyDescent="0.25">
      <c r="D17" s="19" t="s">
        <v>188</v>
      </c>
      <c r="E17" s="13"/>
      <c r="F17" s="13"/>
      <c r="G17" s="22" t="s">
        <v>144</v>
      </c>
      <c r="H17" s="22"/>
      <c r="I17" s="22"/>
      <c r="J17" s="22"/>
      <c r="K17" s="23"/>
      <c r="L17" s="225">
        <f t="shared" ref="L17:V17" si="17">-L10*4/L15</f>
        <v>6.9924604644667793E-2</v>
      </c>
      <c r="M17" s="225">
        <f t="shared" si="17"/>
        <v>7.0228296019719152E-2</v>
      </c>
      <c r="N17" s="225">
        <f t="shared" si="17"/>
        <v>7.1722789889726205E-2</v>
      </c>
      <c r="O17" s="225">
        <f t="shared" si="17"/>
        <v>7.5172082463532117E-2</v>
      </c>
      <c r="P17" s="225">
        <f t="shared" si="17"/>
        <v>7.8134535770684563E-2</v>
      </c>
      <c r="Q17" s="225">
        <f t="shared" si="17"/>
        <v>7.650252276030596E-2</v>
      </c>
      <c r="R17" s="225">
        <f t="shared" si="17"/>
        <v>7.2310248148319781E-2</v>
      </c>
      <c r="S17" s="225">
        <f t="shared" si="17"/>
        <v>7.6418663697486983E-2</v>
      </c>
      <c r="T17" s="225">
        <f t="shared" si="17"/>
        <v>7.7467652690125746E-2</v>
      </c>
      <c r="U17" s="225">
        <f t="shared" si="17"/>
        <v>7.5849956717056785E-2</v>
      </c>
      <c r="V17" s="225">
        <f t="shared" si="17"/>
        <v>7.1463703727594516E-2</v>
      </c>
      <c r="W17" s="225">
        <f t="shared" ref="W17:X17" si="18">-W10*4/W15</f>
        <v>7.2979479264716512E-2</v>
      </c>
      <c r="X17" s="225">
        <f t="shared" si="18"/>
        <v>7.5194156570984647E-2</v>
      </c>
      <c r="Y17" s="225">
        <f t="shared" ref="Y17" si="19">-Y10*4/Y15</f>
        <v>7.5146306609830432E-2</v>
      </c>
    </row>
    <row r="18" spans="3:25" s="24" customFormat="1" ht="14.1" customHeight="1" x14ac:dyDescent="0.25">
      <c r="G18" s="41"/>
      <c r="H18" s="41"/>
      <c r="I18" s="41"/>
      <c r="J18" s="41"/>
    </row>
    <row r="19" spans="3:25" s="7" customFormat="1" ht="14.1" customHeight="1" x14ac:dyDescent="0.25">
      <c r="C19" s="47" t="s">
        <v>10</v>
      </c>
      <c r="G19" s="41"/>
      <c r="H19" s="41"/>
      <c r="I19" s="41"/>
      <c r="J19" s="41"/>
    </row>
    <row r="20" spans="3:25" s="7" customFormat="1" ht="14.1" customHeight="1" x14ac:dyDescent="0.25">
      <c r="D20" s="33" t="s">
        <v>198</v>
      </c>
      <c r="E20" s="12"/>
      <c r="F20" s="12"/>
      <c r="G20" s="39"/>
      <c r="H20" s="41"/>
      <c r="I20" s="41"/>
      <c r="J20" s="41"/>
      <c r="K20" s="12"/>
      <c r="L20" s="12"/>
      <c r="M20" s="12"/>
      <c r="N20" s="12"/>
      <c r="O20" s="12"/>
      <c r="P20" s="12"/>
      <c r="Q20" s="12"/>
      <c r="R20" s="12"/>
      <c r="S20" s="12"/>
      <c r="T20" s="12"/>
      <c r="U20" s="12"/>
      <c r="V20" s="12"/>
      <c r="W20" s="12"/>
      <c r="X20" s="12"/>
      <c r="Y20" s="12"/>
    </row>
    <row r="21" spans="3:25" s="7" customFormat="1" ht="14.1" customHeight="1" x14ac:dyDescent="0.25">
      <c r="D21" s="13" t="s">
        <v>100</v>
      </c>
      <c r="E21" s="13"/>
      <c r="F21" s="13"/>
      <c r="G21" s="22" t="s">
        <v>143</v>
      </c>
      <c r="H21" s="25">
        <f t="shared" ref="H21:J21" si="20">H29*4*10^3/H15/12</f>
        <v>42.389178734649974</v>
      </c>
      <c r="I21" s="25">
        <f t="shared" si="20"/>
        <v>42.510695409899611</v>
      </c>
      <c r="J21" s="25">
        <f t="shared" si="20"/>
        <v>42.231654606286483</v>
      </c>
      <c r="K21" s="25">
        <f>K29*4*10^3/K15/12</f>
        <v>42.426645174489884</v>
      </c>
      <c r="L21" s="25">
        <f t="shared" ref="L21:V21" si="21">L29*4*10^3/L15/12</f>
        <v>43.613129770874906</v>
      </c>
      <c r="M21" s="25">
        <f t="shared" si="21"/>
        <v>43.518879692109124</v>
      </c>
      <c r="N21" s="25">
        <f t="shared" si="21"/>
        <v>43.368617584338587</v>
      </c>
      <c r="O21" s="25">
        <f t="shared" si="21"/>
        <v>43.313407622505565</v>
      </c>
      <c r="P21" s="25">
        <f t="shared" si="21"/>
        <v>44.692667200487506</v>
      </c>
      <c r="Q21" s="25">
        <f>Q29*4*10^3/Q15/12</f>
        <v>44.355000959730994</v>
      </c>
      <c r="R21" s="25">
        <f t="shared" si="21"/>
        <v>44.139808245861524</v>
      </c>
      <c r="S21" s="25">
        <f t="shared" si="21"/>
        <v>43.787987670725876</v>
      </c>
      <c r="T21" s="25">
        <f t="shared" si="21"/>
        <v>45.763569555615788</v>
      </c>
      <c r="U21" s="25">
        <f t="shared" si="21"/>
        <v>45.760507803158724</v>
      </c>
      <c r="V21" s="25">
        <f t="shared" si="21"/>
        <v>45.491501561441332</v>
      </c>
      <c r="W21" s="25">
        <f t="shared" ref="W21:X21" si="22">W29*4*10^3/W15/12</f>
        <v>45.248869320781999</v>
      </c>
      <c r="X21" s="25">
        <f t="shared" si="22"/>
        <v>46.968089435458033</v>
      </c>
      <c r="Y21" s="25">
        <f t="shared" ref="Y21" si="23">Y29*4*10^3/Y15/12</f>
        <v>46.615549655245673</v>
      </c>
    </row>
    <row r="22" spans="3:25" s="7" customFormat="1" ht="14.1" customHeight="1" x14ac:dyDescent="0.25">
      <c r="D22" s="34" t="s">
        <v>146</v>
      </c>
      <c r="E22" s="13"/>
      <c r="F22" s="19"/>
      <c r="G22" s="42" t="s">
        <v>144</v>
      </c>
      <c r="H22" s="226"/>
      <c r="I22" s="226"/>
      <c r="J22" s="226"/>
      <c r="K22" s="13"/>
      <c r="L22" s="36">
        <f t="shared" ref="L22" si="24">+IFERROR(L21/H21-1,"n.a.")</f>
        <v>2.887413893736146E-2</v>
      </c>
      <c r="M22" s="36">
        <f t="shared" ref="M22" si="25">+IFERROR(M21/I21-1,"n.a.")</f>
        <v>2.3716014816702602E-2</v>
      </c>
      <c r="N22" s="36">
        <f t="shared" ref="N22" si="26">+IFERROR(N21/J21-1,"n.a.")</f>
        <v>2.6922056183961596E-2</v>
      </c>
      <c r="O22" s="36">
        <f t="shared" ref="O22" si="27">+IFERROR(O21/K21-1,"n.a.")</f>
        <v>2.0901073944655568E-2</v>
      </c>
      <c r="P22" s="36">
        <f t="shared" ref="P22" si="28">+IFERROR(P21/L21-1,"n.a.")</f>
        <v>2.4752578759746013E-2</v>
      </c>
      <c r="Q22" s="36">
        <f t="shared" ref="Q22" si="29">+IFERROR(Q21/M21-1,"n.a.")</f>
        <v>1.9212839887821742E-2</v>
      </c>
      <c r="R22" s="36">
        <f t="shared" ref="R22" si="30">+IFERROR(R21/N21-1,"n.a.")</f>
        <v>1.7782228359555452E-2</v>
      </c>
      <c r="S22" s="36">
        <f t="shared" ref="S22" si="31">+IFERROR(S21/O21-1,"n.a.")</f>
        <v>1.0956885506595793E-2</v>
      </c>
      <c r="T22" s="36">
        <f t="shared" ref="T22" si="32">+IFERROR(T21/P21-1,"n.a.")</f>
        <v>2.3961477848800206E-2</v>
      </c>
      <c r="U22" s="36">
        <f t="shared" ref="U22" si="33">+IFERROR(U21/Q21-1,"n.a.")</f>
        <v>3.1687674738272831E-2</v>
      </c>
      <c r="V22" s="36">
        <f t="shared" ref="V22:Y22" si="34">+IFERROR(V21/R21-1,"n.a.")</f>
        <v>3.0622999267481799E-2</v>
      </c>
      <c r="W22" s="36">
        <f t="shared" si="34"/>
        <v>3.336261216298797E-2</v>
      </c>
      <c r="X22" s="36">
        <f t="shared" si="34"/>
        <v>2.6320496664457238E-2</v>
      </c>
      <c r="Y22" s="36">
        <f t="shared" si="34"/>
        <v>1.868514780834496E-2</v>
      </c>
    </row>
    <row r="23" spans="3:25" s="7" customFormat="1" ht="14.1" customHeight="1" x14ac:dyDescent="0.25">
      <c r="D23" s="13" t="s">
        <v>147</v>
      </c>
      <c r="E23" s="13"/>
      <c r="F23" s="13"/>
      <c r="G23" s="22" t="s">
        <v>143</v>
      </c>
      <c r="H23" s="25">
        <f t="shared" ref="H23:V23" si="35">H31*4*10^3/H15/12</f>
        <v>30.876997443502773</v>
      </c>
      <c r="I23" s="25">
        <f t="shared" si="35"/>
        <v>30.968658845698343</v>
      </c>
      <c r="J23" s="25">
        <f t="shared" si="35"/>
        <v>30.698882963848508</v>
      </c>
      <c r="K23" s="25">
        <f t="shared" si="35"/>
        <v>30.079794530487757</v>
      </c>
      <c r="L23" s="25">
        <f t="shared" si="35"/>
        <v>31.467241547114693</v>
      </c>
      <c r="M23" s="25">
        <f t="shared" si="35"/>
        <v>31.42947954590672</v>
      </c>
      <c r="N23" s="25">
        <f t="shared" si="35"/>
        <v>31.218062357073837</v>
      </c>
      <c r="O23" s="25">
        <f t="shared" si="35"/>
        <v>30.794576692020218</v>
      </c>
      <c r="P23" s="25">
        <f t="shared" si="35"/>
        <v>31.764284829743726</v>
      </c>
      <c r="Q23" s="25">
        <f t="shared" si="35"/>
        <v>31.619329906577121</v>
      </c>
      <c r="R23" s="25">
        <f t="shared" si="35"/>
        <v>31.728381385233082</v>
      </c>
      <c r="S23" s="25">
        <f t="shared" si="35"/>
        <v>31.480626076607226</v>
      </c>
      <c r="T23" s="25">
        <f t="shared" si="35"/>
        <v>33.12137213190698</v>
      </c>
      <c r="U23" s="25">
        <f t="shared" si="35"/>
        <v>33.196287881645368</v>
      </c>
      <c r="V23" s="25">
        <f t="shared" si="35"/>
        <v>33.190859905690459</v>
      </c>
      <c r="W23" s="25">
        <f t="shared" ref="W23:X23" si="36">W31*4*10^3/W15/12</f>
        <v>32.916813685237948</v>
      </c>
      <c r="X23" s="25">
        <f t="shared" si="36"/>
        <v>34.405320527406452</v>
      </c>
      <c r="Y23" s="25">
        <f t="shared" ref="Y23" si="37">Y31*4*10^3/Y15/12</f>
        <v>34.407294530685526</v>
      </c>
    </row>
    <row r="24" spans="3:25" s="7" customFormat="1" ht="14.1" customHeight="1" x14ac:dyDescent="0.25">
      <c r="D24" s="34" t="s">
        <v>146</v>
      </c>
      <c r="E24" s="13"/>
      <c r="F24" s="19"/>
      <c r="G24" s="42" t="s">
        <v>144</v>
      </c>
      <c r="H24" s="22"/>
      <c r="I24" s="22"/>
      <c r="J24" s="22"/>
      <c r="K24" s="13"/>
      <c r="L24" s="36">
        <f t="shared" ref="L24" si="38">+IFERROR(L23/H23-1,"n.a.")</f>
        <v>1.9115981231397905E-2</v>
      </c>
      <c r="M24" s="36">
        <f t="shared" ref="M24" si="39">+IFERROR(M23/I23-1,"n.a.")</f>
        <v>1.4880227862124062E-2</v>
      </c>
      <c r="N24" s="36">
        <f t="shared" ref="N24" si="40">+IFERROR(N23/J23-1,"n.a.")</f>
        <v>1.6911996238974547E-2</v>
      </c>
      <c r="O24" s="36">
        <f t="shared" ref="O24" si="41">+IFERROR(O23/K23-1,"n.a.")</f>
        <v>2.3762867156821299E-2</v>
      </c>
      <c r="P24" s="36">
        <f t="shared" ref="P24" si="42">+IFERROR(P23/L23-1,"n.a.")</f>
        <v>9.4397623695194888E-3</v>
      </c>
      <c r="Q24" s="36">
        <f t="shared" ref="Q24" si="43">+IFERROR(Q23/M23-1,"n.a.")</f>
        <v>6.0405187554284367E-3</v>
      </c>
      <c r="R24" s="36">
        <f t="shared" ref="R24" si="44">+IFERROR(R23/N23-1,"n.a.")</f>
        <v>1.6346915523525629E-2</v>
      </c>
      <c r="S24" s="36">
        <f t="shared" ref="S24" si="45">+IFERROR(S23/O23-1,"n.a.")</f>
        <v>2.2278253455089159E-2</v>
      </c>
      <c r="T24" s="36">
        <f t="shared" ref="T24" si="46">+IFERROR(T23/P23-1,"n.a.")</f>
        <v>4.2723685089629093E-2</v>
      </c>
      <c r="U24" s="36">
        <f t="shared" ref="U24" si="47">+IFERROR(U23/Q23-1,"n.a.")</f>
        <v>4.9873225641642316E-2</v>
      </c>
      <c r="V24" s="36">
        <f t="shared" ref="V24:Y24" si="48">+IFERROR(V23/R23-1,"n.a.")</f>
        <v>4.6093700863607312E-2</v>
      </c>
      <c r="W24" s="36">
        <f t="shared" si="48"/>
        <v>4.5621316588043692E-2</v>
      </c>
      <c r="X24" s="36">
        <f t="shared" si="48"/>
        <v>3.8764951837928274E-2</v>
      </c>
      <c r="Y24" s="36">
        <f t="shared" si="48"/>
        <v>3.6480182764945246E-2</v>
      </c>
    </row>
    <row r="25" spans="3:25" s="20" customFormat="1" ht="14.1" customHeight="1" x14ac:dyDescent="0.25">
      <c r="D25" s="13" t="s">
        <v>201</v>
      </c>
      <c r="E25" s="13"/>
      <c r="F25" s="13"/>
      <c r="G25" s="22" t="s">
        <v>142</v>
      </c>
      <c r="H25" s="17">
        <f t="shared" ref="H25:V25" si="49">+H12*H21*12/1000</f>
        <v>1975.8691544598857</v>
      </c>
      <c r="I25" s="17">
        <f t="shared" si="49"/>
        <v>2050.6975819531403</v>
      </c>
      <c r="J25" s="17">
        <f t="shared" si="49"/>
        <v>2101.2967885184166</v>
      </c>
      <c r="K25" s="17">
        <f t="shared" si="49"/>
        <v>2176.398819735949</v>
      </c>
      <c r="L25" s="17">
        <f t="shared" si="49"/>
        <v>2303.8152567986808</v>
      </c>
      <c r="M25" s="17">
        <f t="shared" si="49"/>
        <v>2365.3364082703274</v>
      </c>
      <c r="N25" s="17">
        <f t="shared" si="49"/>
        <v>2417.3136609631097</v>
      </c>
      <c r="O25" s="17">
        <f t="shared" si="49"/>
        <v>2469.9541730722294</v>
      </c>
      <c r="P25" s="17">
        <f t="shared" si="49"/>
        <v>2606.3138485944905</v>
      </c>
      <c r="Q25" s="17">
        <f t="shared" si="49"/>
        <v>2643.5289603193378</v>
      </c>
      <c r="R25" s="17">
        <f t="shared" si="49"/>
        <v>2686.6349323597988</v>
      </c>
      <c r="S25" s="17">
        <f t="shared" si="49"/>
        <v>2718.1999372352452</v>
      </c>
      <c r="T25" s="17">
        <f t="shared" si="49"/>
        <v>2900.7192799257509</v>
      </c>
      <c r="U25" s="17">
        <f t="shared" si="49"/>
        <v>2962.7582203705124</v>
      </c>
      <c r="V25" s="17">
        <f t="shared" si="49"/>
        <v>3003.4004294661245</v>
      </c>
      <c r="W25" s="17">
        <f t="shared" ref="W25:X25" si="50">+W12*W21*12/1000</f>
        <v>3047.0688148127106</v>
      </c>
      <c r="X25" s="17">
        <f t="shared" si="50"/>
        <v>3225.2829202548528</v>
      </c>
      <c r="Y25" s="17">
        <f t="shared" ref="Y25" si="51">+Y12*Y21*12/1000</f>
        <v>3262.008113888387</v>
      </c>
    </row>
    <row r="26" spans="3:25" s="7" customFormat="1" ht="14.1" customHeight="1" x14ac:dyDescent="0.25">
      <c r="D26" s="34" t="s">
        <v>146</v>
      </c>
      <c r="E26" s="13"/>
      <c r="F26" s="13"/>
      <c r="G26" s="42" t="s">
        <v>144</v>
      </c>
      <c r="H26" s="22"/>
      <c r="I26" s="22"/>
      <c r="J26" s="22"/>
      <c r="K26" s="13"/>
      <c r="L26" s="36">
        <f t="shared" ref="L26" si="52">+IFERROR(L25/H25-1,"n.a.")</f>
        <v>0.16597561715995357</v>
      </c>
      <c r="M26" s="36">
        <f t="shared" ref="M26" si="53">+IFERROR(M25/I25-1,"n.a.")</f>
        <v>0.15343014449625314</v>
      </c>
      <c r="N26" s="36">
        <f t="shared" ref="N26" si="54">+IFERROR(N25/J25-1,"n.a.")</f>
        <v>0.15039135555311556</v>
      </c>
      <c r="O26" s="36">
        <f>+IFERROR(O25/K25-1,"n.a.")</f>
        <v>0.13488123163561361</v>
      </c>
      <c r="P26" s="36">
        <f>+IFERROR(P25/L25-1,"n.a.")</f>
        <v>0.13130331996158118</v>
      </c>
      <c r="Q26" s="36">
        <f t="shared" ref="Q26" si="55">+IFERROR(Q25/M25-1,"n.a.")</f>
        <v>0.11761225636924988</v>
      </c>
      <c r="R26" s="36">
        <f t="shared" ref="R26" si="56">+IFERROR(R25/N25-1,"n.a.")</f>
        <v>0.11141345690711302</v>
      </c>
      <c r="S26" s="36">
        <f t="shared" ref="S26" si="57">+IFERROR(S25/O25-1,"n.a.")</f>
        <v>0.1005062226940987</v>
      </c>
      <c r="T26" s="36">
        <f t="shared" ref="T26" si="58">+IFERROR(T25/P25-1,"n.a.")</f>
        <v>0.11295854928984261</v>
      </c>
      <c r="U26" s="36">
        <f t="shared" ref="U26" si="59">+IFERROR(U25/Q25-1,"n.a.")</f>
        <v>0.12075875272900793</v>
      </c>
      <c r="V26" s="36">
        <f t="shared" ref="V26:Y26" si="60">+IFERROR(V25/R25-1,"n.a.")</f>
        <v>0.11790418314411455</v>
      </c>
      <c r="W26" s="36">
        <f t="shared" si="60"/>
        <v>0.12098774379046118</v>
      </c>
      <c r="X26" s="36">
        <f t="shared" si="60"/>
        <v>0.1118907446767512</v>
      </c>
      <c r="Y26" s="36">
        <f t="shared" si="60"/>
        <v>0.10100381848926276</v>
      </c>
    </row>
    <row r="27" spans="3:25" s="7" customFormat="1" ht="14.1" customHeight="1" x14ac:dyDescent="0.25">
      <c r="D27" s="103"/>
      <c r="F27" s="32"/>
      <c r="G27" s="104"/>
      <c r="H27" s="41"/>
      <c r="I27" s="41"/>
      <c r="J27" s="41"/>
      <c r="M27" s="105"/>
      <c r="N27" s="105"/>
      <c r="O27" s="105"/>
      <c r="P27" s="105"/>
      <c r="Q27" s="105"/>
      <c r="R27" s="105"/>
      <c r="S27" s="105"/>
      <c r="T27" s="105"/>
      <c r="U27" s="105"/>
      <c r="V27" s="105"/>
      <c r="W27" s="105"/>
      <c r="X27" s="105"/>
      <c r="Y27" s="105"/>
    </row>
    <row r="28" spans="3:25" s="7" customFormat="1" ht="14.1" customHeight="1" x14ac:dyDescent="0.25">
      <c r="D28" s="33" t="s">
        <v>151</v>
      </c>
      <c r="E28" s="12"/>
      <c r="F28" s="12"/>
      <c r="G28" s="39"/>
      <c r="H28" s="39"/>
      <c r="I28" s="39"/>
      <c r="J28" s="39"/>
      <c r="K28" s="12"/>
      <c r="L28" s="227"/>
      <c r="M28" s="227"/>
      <c r="N28" s="227"/>
      <c r="O28" s="12"/>
      <c r="P28" s="12"/>
      <c r="Q28" s="12"/>
      <c r="R28" s="12"/>
      <c r="S28" s="12"/>
      <c r="T28" s="12"/>
      <c r="U28" s="12"/>
      <c r="V28" s="12"/>
      <c r="W28" s="12"/>
      <c r="X28" s="12"/>
      <c r="Y28" s="12"/>
    </row>
    <row r="29" spans="3:25" s="20" customFormat="1" ht="14.1" customHeight="1" x14ac:dyDescent="0.25">
      <c r="D29" s="13" t="s">
        <v>167</v>
      </c>
      <c r="E29" s="13"/>
      <c r="F29" s="13"/>
      <c r="G29" s="22" t="s">
        <v>142</v>
      </c>
      <c r="H29" s="5">
        <v>485.59</v>
      </c>
      <c r="I29" s="5">
        <v>503.173</v>
      </c>
      <c r="J29" s="5">
        <v>518.44200000000001</v>
      </c>
      <c r="K29" s="5">
        <v>536.46799999999996</v>
      </c>
      <c r="L29" s="5">
        <v>566.86099999999999</v>
      </c>
      <c r="M29" s="5">
        <v>582.048</v>
      </c>
      <c r="N29" s="5">
        <v>597.99199999999996</v>
      </c>
      <c r="O29" s="5">
        <v>611.25699999999995</v>
      </c>
      <c r="P29" s="5">
        <v>643.48900000000003</v>
      </c>
      <c r="Q29" s="5">
        <v>652.57100000000003</v>
      </c>
      <c r="R29" s="5">
        <v>665.80499999999995</v>
      </c>
      <c r="S29" s="5">
        <v>673.43</v>
      </c>
      <c r="T29" s="5">
        <v>716.69799999999998</v>
      </c>
      <c r="U29" s="5">
        <v>731.55799999999999</v>
      </c>
      <c r="V29" s="5">
        <v>744.73099999999999</v>
      </c>
      <c r="W29" s="5">
        <v>754.822</v>
      </c>
      <c r="X29" s="5">
        <v>796.97299999999996</v>
      </c>
      <c r="Y29" s="5">
        <v>806.59100000000001</v>
      </c>
    </row>
    <row r="30" spans="3:25" s="7" customFormat="1" ht="14.1" customHeight="1" x14ac:dyDescent="0.25">
      <c r="D30" s="34" t="s">
        <v>146</v>
      </c>
      <c r="E30" s="19"/>
      <c r="F30" s="19"/>
      <c r="G30" s="42" t="s">
        <v>144</v>
      </c>
      <c r="H30" s="22"/>
      <c r="I30" s="22"/>
      <c r="J30" s="22"/>
      <c r="K30" s="13"/>
      <c r="L30" s="36">
        <f t="shared" ref="L30:N30" si="61">+IFERROR(L29/H29-1,"n.a.")</f>
        <v>0.16736547292983794</v>
      </c>
      <c r="M30" s="36">
        <f t="shared" si="61"/>
        <v>0.15675523130215652</v>
      </c>
      <c r="N30" s="36">
        <f t="shared" si="61"/>
        <v>0.15344050057672787</v>
      </c>
      <c r="O30" s="36">
        <f>+IFERROR(O29/K29-1,"n.a.")</f>
        <v>0.13940999276750898</v>
      </c>
      <c r="P30" s="36">
        <f>+IFERROR(P29/L29-1,"n.a.")</f>
        <v>0.13517952372803932</v>
      </c>
      <c r="Q30" s="36">
        <f t="shared" ref="Q30" si="62">+IFERROR(Q29/M29-1,"n.a.")</f>
        <v>0.12116354664907369</v>
      </c>
      <c r="R30" s="36">
        <f t="shared" ref="R30" si="63">+IFERROR(R29/N29-1,"n.a.")</f>
        <v>0.11340118262451671</v>
      </c>
      <c r="S30" s="36">
        <f t="shared" ref="S30" si="64">+IFERROR(S29/O29-1,"n.a.")</f>
        <v>0.10171335461189002</v>
      </c>
      <c r="T30" s="36">
        <f t="shared" ref="T30" si="65">+IFERROR(T29/P29-1,"n.a.")</f>
        <v>0.1137688445334728</v>
      </c>
      <c r="U30" s="36">
        <f t="shared" ref="U30" si="66">+IFERROR(U29/Q29-1,"n.a.")</f>
        <v>0.12103970295952471</v>
      </c>
      <c r="V30" s="36">
        <f t="shared" ref="V30:Y30" si="67">+IFERROR(V29/R29-1,"n.a.")</f>
        <v>0.11854221581393953</v>
      </c>
      <c r="W30" s="36">
        <f t="shared" si="67"/>
        <v>0.120861856466151</v>
      </c>
      <c r="X30" s="36">
        <f t="shared" si="67"/>
        <v>0.11200673086851087</v>
      </c>
      <c r="Y30" s="36">
        <f t="shared" si="67"/>
        <v>0.10256603030791811</v>
      </c>
    </row>
    <row r="31" spans="3:25" s="20" customFormat="1" ht="14.1" customHeight="1" x14ac:dyDescent="0.25">
      <c r="D31" s="13" t="s">
        <v>11</v>
      </c>
      <c r="E31" s="13"/>
      <c r="F31" s="13"/>
      <c r="G31" s="22" t="s">
        <v>142</v>
      </c>
      <c r="H31" s="5">
        <v>353.71199999999999</v>
      </c>
      <c r="I31" s="5">
        <v>366.55700000000002</v>
      </c>
      <c r="J31" s="5">
        <v>376.86399999999998</v>
      </c>
      <c r="K31" s="5">
        <v>380.34699999999998</v>
      </c>
      <c r="L31" s="5">
        <v>408.995</v>
      </c>
      <c r="M31" s="5">
        <v>420.35700000000003</v>
      </c>
      <c r="N31" s="5">
        <v>430.45299999999997</v>
      </c>
      <c r="O31" s="5">
        <v>434.58600000000001</v>
      </c>
      <c r="P31" s="5">
        <v>457.34500000000003</v>
      </c>
      <c r="Q31" s="5">
        <v>465.19799999999998</v>
      </c>
      <c r="R31" s="5">
        <v>478.59100000000001</v>
      </c>
      <c r="S31" s="5">
        <v>484.15100000000001</v>
      </c>
      <c r="T31" s="5">
        <v>518.71</v>
      </c>
      <c r="U31" s="5">
        <v>530.69799999999998</v>
      </c>
      <c r="V31" s="5">
        <v>543.36</v>
      </c>
      <c r="W31" s="5">
        <v>549.10400000000004</v>
      </c>
      <c r="X31" s="5">
        <v>583.803</v>
      </c>
      <c r="Y31" s="5">
        <v>595.351</v>
      </c>
    </row>
    <row r="32" spans="3:25" s="7" customFormat="1" ht="14.1" customHeight="1" x14ac:dyDescent="0.25">
      <c r="D32" s="34" t="s">
        <v>148</v>
      </c>
      <c r="E32" s="13"/>
      <c r="F32" s="13"/>
      <c r="G32" s="42" t="s">
        <v>144</v>
      </c>
      <c r="H32" s="45">
        <f t="shared" ref="H32:K32" si="68">+IFERROR(H31/H29,"n.a.")</f>
        <v>0.72841697728536425</v>
      </c>
      <c r="I32" s="45">
        <f t="shared" si="68"/>
        <v>0.7284909961385051</v>
      </c>
      <c r="J32" s="45">
        <f t="shared" si="68"/>
        <v>0.72691641495094916</v>
      </c>
      <c r="K32" s="45">
        <f t="shared" si="68"/>
        <v>0.70898357404355905</v>
      </c>
      <c r="L32" s="45">
        <f t="shared" ref="L32:W32" si="69">+IFERROR(L31/L29,"n.a.")</f>
        <v>0.72150844739715736</v>
      </c>
      <c r="M32" s="52">
        <f t="shared" si="69"/>
        <v>0.72220332343724236</v>
      </c>
      <c r="N32" s="52">
        <f t="shared" si="69"/>
        <v>0.71983070007625516</v>
      </c>
      <c r="O32" s="52">
        <f t="shared" si="69"/>
        <v>0.71097099910512285</v>
      </c>
      <c r="P32" s="52">
        <f t="shared" si="69"/>
        <v>0.71072698989415517</v>
      </c>
      <c r="Q32" s="52">
        <f t="shared" si="69"/>
        <v>0.71286955748876357</v>
      </c>
      <c r="R32" s="52">
        <f t="shared" si="69"/>
        <v>0.71881556912309164</v>
      </c>
      <c r="S32" s="52">
        <f t="shared" si="69"/>
        <v>0.71893292547109577</v>
      </c>
      <c r="T32" s="52">
        <f t="shared" si="69"/>
        <v>0.72374975233640959</v>
      </c>
      <c r="U32" s="52">
        <f t="shared" si="69"/>
        <v>0.72543530383100174</v>
      </c>
      <c r="V32" s="52">
        <f t="shared" si="69"/>
        <v>0.72960572340885499</v>
      </c>
      <c r="W32" s="52">
        <f t="shared" si="69"/>
        <v>0.72746157372201659</v>
      </c>
      <c r="X32" s="52">
        <f t="shared" ref="X32:Y32" si="70">+IFERROR(X31/X29,"n.a.")</f>
        <v>0.73252544314550183</v>
      </c>
      <c r="Y32" s="52">
        <f t="shared" si="70"/>
        <v>0.73810766547109996</v>
      </c>
    </row>
    <row r="33" spans="3:27" s="7" customFormat="1" ht="14.1" customHeight="1" x14ac:dyDescent="0.25">
      <c r="D33" s="13" t="s">
        <v>171</v>
      </c>
      <c r="E33" s="13"/>
      <c r="F33" s="13"/>
      <c r="G33" s="22" t="s">
        <v>142</v>
      </c>
      <c r="H33" s="22"/>
      <c r="I33" s="22"/>
      <c r="J33" s="22"/>
      <c r="K33" s="13"/>
      <c r="L33" s="44">
        <v>-20.100000000000001</v>
      </c>
      <c r="M33" s="44">
        <v>-22.9</v>
      </c>
      <c r="N33" s="44">
        <v>-24.3</v>
      </c>
      <c r="O33" s="44">
        <v>-26.8</v>
      </c>
      <c r="P33" s="44">
        <v>-28.7</v>
      </c>
      <c r="Q33" s="44">
        <v>-28.8</v>
      </c>
      <c r="R33" s="44">
        <v>-28.8</v>
      </c>
      <c r="S33" s="44">
        <v>-31.5</v>
      </c>
      <c r="T33" s="44">
        <v>-34.5</v>
      </c>
      <c r="U33" s="44">
        <v>-37.5</v>
      </c>
      <c r="V33" s="44">
        <v>-37.1</v>
      </c>
      <c r="W33" s="44">
        <v>-45.9</v>
      </c>
      <c r="X33" s="44">
        <v>-47.6</v>
      </c>
      <c r="Y33" s="44">
        <v>-48.3</v>
      </c>
      <c r="AA33" s="27"/>
    </row>
    <row r="34" spans="3:27" s="7" customFormat="1" ht="14.1" customHeight="1" x14ac:dyDescent="0.25">
      <c r="D34" s="34" t="s">
        <v>350</v>
      </c>
      <c r="E34" s="13"/>
      <c r="F34" s="13"/>
      <c r="G34" s="42" t="s">
        <v>144</v>
      </c>
      <c r="H34" s="22"/>
      <c r="I34" s="22"/>
      <c r="J34" s="22"/>
      <c r="K34" s="13"/>
      <c r="L34" s="45">
        <f t="shared" ref="L34:W34" si="71">+IFERROR(-L33/L29,"n.a.")</f>
        <v>3.5458428080252478E-2</v>
      </c>
      <c r="M34" s="52">
        <f t="shared" si="71"/>
        <v>3.9343834185496723E-2</v>
      </c>
      <c r="N34" s="52">
        <f t="shared" si="71"/>
        <v>4.063599513036964E-2</v>
      </c>
      <c r="O34" s="52">
        <f t="shared" si="71"/>
        <v>4.384407867721761E-2</v>
      </c>
      <c r="P34" s="52">
        <f t="shared" si="71"/>
        <v>4.4600607003383114E-2</v>
      </c>
      <c r="Q34" s="52">
        <f t="shared" si="71"/>
        <v>4.4133128808972508E-2</v>
      </c>
      <c r="R34" s="52">
        <f t="shared" si="71"/>
        <v>4.3255908261427903E-2</v>
      </c>
      <c r="S34" s="52">
        <f t="shared" si="71"/>
        <v>4.6775462928589466E-2</v>
      </c>
      <c r="T34" s="52">
        <f t="shared" si="71"/>
        <v>4.81374302704905E-2</v>
      </c>
      <c r="U34" s="52">
        <f t="shared" si="71"/>
        <v>5.1260460551316507E-2</v>
      </c>
      <c r="V34" s="52">
        <f t="shared" si="71"/>
        <v>4.9816645204778638E-2</v>
      </c>
      <c r="W34" s="52">
        <f t="shared" si="71"/>
        <v>6.0809038422303535E-2</v>
      </c>
      <c r="X34" s="52">
        <f t="shared" ref="X34:Y34" si="72">+IFERROR(-X33/X29,"n.a.")</f>
        <v>5.9725988207881574E-2</v>
      </c>
      <c r="Y34" s="52">
        <f t="shared" si="72"/>
        <v>5.9881650055604384E-2</v>
      </c>
    </row>
    <row r="35" spans="3:27" s="7" customFormat="1" ht="14.1" customHeight="1" x14ac:dyDescent="0.25">
      <c r="G35" s="41"/>
      <c r="H35" s="41"/>
      <c r="I35" s="41"/>
      <c r="J35" s="41"/>
    </row>
    <row r="36" spans="3:27" s="7" customFormat="1" ht="14.1" customHeight="1" x14ac:dyDescent="0.25">
      <c r="C36" s="47" t="s">
        <v>12</v>
      </c>
      <c r="G36" s="41"/>
      <c r="H36" s="41"/>
      <c r="I36" s="41"/>
      <c r="J36" s="41"/>
      <c r="L36" s="65"/>
      <c r="M36" s="65"/>
      <c r="N36" s="65"/>
      <c r="O36" s="65"/>
      <c r="P36" s="65"/>
      <c r="Q36" s="65"/>
      <c r="R36" s="65"/>
      <c r="S36" s="65"/>
      <c r="T36" s="65"/>
      <c r="U36" s="65"/>
      <c r="V36" s="65"/>
      <c r="W36" s="65"/>
      <c r="X36" s="65"/>
    </row>
    <row r="37" spans="3:27" s="7" customFormat="1" ht="14.1" customHeight="1" x14ac:dyDescent="0.25">
      <c r="D37" s="33" t="s">
        <v>198</v>
      </c>
      <c r="E37" s="12"/>
      <c r="F37" s="12"/>
      <c r="G37" s="39"/>
      <c r="H37" s="39"/>
      <c r="I37" s="39"/>
      <c r="J37" s="39"/>
      <c r="K37" s="12"/>
      <c r="L37" s="12"/>
      <c r="M37" s="12"/>
      <c r="N37" s="12"/>
      <c r="O37" s="12"/>
      <c r="P37" s="12"/>
      <c r="Q37" s="12"/>
      <c r="R37" s="12"/>
      <c r="S37" s="12"/>
      <c r="T37" s="12"/>
      <c r="U37" s="12"/>
      <c r="V37" s="12"/>
      <c r="W37" s="12"/>
      <c r="X37" s="12"/>
      <c r="Y37" s="12"/>
    </row>
    <row r="38" spans="3:27" s="7" customFormat="1" ht="14.1" customHeight="1" x14ac:dyDescent="0.25">
      <c r="D38" s="13" t="s">
        <v>153</v>
      </c>
      <c r="E38" s="13"/>
      <c r="F38" s="13"/>
      <c r="G38" s="22" t="s">
        <v>143</v>
      </c>
      <c r="H38" s="22"/>
      <c r="I38" s="22"/>
      <c r="J38" s="22"/>
      <c r="K38" s="21"/>
      <c r="L38" s="17">
        <f t="shared" ref="L38:Y38" si="73">+L45*1000/L9</f>
        <v>469.93854145617809</v>
      </c>
      <c r="M38" s="17">
        <f t="shared" si="73"/>
        <v>459.31171332412504</v>
      </c>
      <c r="N38" s="17">
        <f t="shared" si="73"/>
        <v>522.08040165470425</v>
      </c>
      <c r="O38" s="17">
        <f t="shared" si="73"/>
        <v>474.43303817917831</v>
      </c>
      <c r="P38" s="17">
        <f t="shared" si="73"/>
        <v>463.98541835320765</v>
      </c>
      <c r="Q38" s="17">
        <f t="shared" si="73"/>
        <v>447.41667081859396</v>
      </c>
      <c r="R38" s="17">
        <f t="shared" si="73"/>
        <v>457.99001470820247</v>
      </c>
      <c r="S38" s="17">
        <f t="shared" si="73"/>
        <v>448.06403574087858</v>
      </c>
      <c r="T38" s="17">
        <f t="shared" si="73"/>
        <v>454.66442058778739</v>
      </c>
      <c r="U38" s="17">
        <f t="shared" si="73"/>
        <v>441.78301046277858</v>
      </c>
      <c r="V38" s="17">
        <f t="shared" si="73"/>
        <v>424.11993249872449</v>
      </c>
      <c r="W38" s="17">
        <f t="shared" si="73"/>
        <v>428.89651094027204</v>
      </c>
      <c r="X38" s="17">
        <f t="shared" si="73"/>
        <v>452.53645550263917</v>
      </c>
      <c r="Y38" s="17">
        <f t="shared" si="73"/>
        <v>417.55758565938743</v>
      </c>
    </row>
    <row r="39" spans="3:27" s="7" customFormat="1" ht="14.1" customHeight="1" x14ac:dyDescent="0.25">
      <c r="D39" s="13" t="s">
        <v>154</v>
      </c>
      <c r="E39" s="13"/>
      <c r="F39" s="13"/>
      <c r="G39" s="22" t="s">
        <v>143</v>
      </c>
      <c r="H39" s="22"/>
      <c r="I39" s="22"/>
      <c r="J39" s="22"/>
      <c r="K39" s="21"/>
      <c r="L39" s="17">
        <f t="shared" ref="L39:Y39" si="74">+(L48-L45)*1000/L9</f>
        <v>-1844.5399480534841</v>
      </c>
      <c r="M39" s="17">
        <f t="shared" si="74"/>
        <v>-1882.8035328677315</v>
      </c>
      <c r="N39" s="17">
        <f t="shared" si="74"/>
        <v>-1927.2253398053349</v>
      </c>
      <c r="O39" s="17">
        <f t="shared" si="74"/>
        <v>-1899.7515388233369</v>
      </c>
      <c r="P39" s="17">
        <f t="shared" si="74"/>
        <v>-1853.8954750209837</v>
      </c>
      <c r="Q39" s="17">
        <f t="shared" si="74"/>
        <v>-1853.5399332370082</v>
      </c>
      <c r="R39" s="17">
        <f t="shared" si="74"/>
        <v>-1885.8002229132419</v>
      </c>
      <c r="S39" s="17">
        <f t="shared" si="74"/>
        <v>-1886.6293695035317</v>
      </c>
      <c r="T39" s="17">
        <f t="shared" si="74"/>
        <v>-1859.0633089690878</v>
      </c>
      <c r="U39" s="17">
        <f t="shared" si="74"/>
        <v>-1833.8270073094843</v>
      </c>
      <c r="V39" s="17">
        <f t="shared" si="74"/>
        <v>-1858.6593932734193</v>
      </c>
      <c r="W39" s="17">
        <f t="shared" si="74"/>
        <v>-1951.9810762862212</v>
      </c>
      <c r="X39" s="17">
        <f t="shared" si="74"/>
        <v>-1921.460615160699</v>
      </c>
      <c r="Y39" s="17">
        <f t="shared" si="74"/>
        <v>-1891.4605241963318</v>
      </c>
    </row>
    <row r="40" spans="3:27" s="7" customFormat="1" ht="14.1" customHeight="1" x14ac:dyDescent="0.25">
      <c r="D40" s="53" t="s">
        <v>184</v>
      </c>
      <c r="E40" s="13"/>
      <c r="F40" s="13"/>
      <c r="G40" s="22" t="s">
        <v>144</v>
      </c>
      <c r="H40" s="22"/>
      <c r="I40" s="22"/>
      <c r="J40" s="22"/>
      <c r="K40" s="21"/>
      <c r="L40" s="57">
        <f t="shared" ref="L40:Y40" si="75">+(L47*1000/(L39*L9))</f>
        <v>0.38936939392239062</v>
      </c>
      <c r="M40" s="57">
        <f t="shared" si="75"/>
        <v>0.38302159239732697</v>
      </c>
      <c r="N40" s="57">
        <f t="shared" si="75"/>
        <v>0.38860816555454797</v>
      </c>
      <c r="O40" s="57">
        <f t="shared" si="75"/>
        <v>0.38067917297947518</v>
      </c>
      <c r="P40" s="57">
        <f t="shared" si="75"/>
        <v>0.39096656665237889</v>
      </c>
      <c r="Q40" s="57">
        <f t="shared" si="75"/>
        <v>0.39583198933402153</v>
      </c>
      <c r="R40" s="57">
        <f t="shared" si="75"/>
        <v>0.38652881343124473</v>
      </c>
      <c r="S40" s="57">
        <f t="shared" si="75"/>
        <v>0.37609668421361409</v>
      </c>
      <c r="T40" s="57">
        <f t="shared" si="75"/>
        <v>0.3760862720805998</v>
      </c>
      <c r="U40" s="57">
        <f t="shared" si="75"/>
        <v>0.36616268244415395</v>
      </c>
      <c r="V40" s="57">
        <f t="shared" si="75"/>
        <v>0.3705962774886245</v>
      </c>
      <c r="W40" s="57">
        <f t="shared" si="75"/>
        <v>0.36151720794958797</v>
      </c>
      <c r="X40" s="57">
        <f t="shared" si="75"/>
        <v>0.35364450495714039</v>
      </c>
      <c r="Y40" s="57">
        <f t="shared" si="75"/>
        <v>0.35455708953589665</v>
      </c>
    </row>
    <row r="41" spans="3:27" s="7" customFormat="1" ht="14.1" customHeight="1" x14ac:dyDescent="0.25">
      <c r="D41" s="13" t="s">
        <v>155</v>
      </c>
      <c r="E41" s="13"/>
      <c r="F41" s="13"/>
      <c r="G41" s="22" t="s">
        <v>143</v>
      </c>
      <c r="H41" s="22"/>
      <c r="I41" s="22"/>
      <c r="J41" s="22"/>
      <c r="K41" s="21"/>
      <c r="L41" s="17">
        <f t="shared" ref="L41:W41" si="76">+L38+L39</f>
        <v>-1374.6014065973059</v>
      </c>
      <c r="M41" s="17">
        <f t="shared" si="76"/>
        <v>-1423.4918195436064</v>
      </c>
      <c r="N41" s="17">
        <f t="shared" si="76"/>
        <v>-1405.1449381506307</v>
      </c>
      <c r="O41" s="17">
        <f t="shared" si="76"/>
        <v>-1425.3185006441586</v>
      </c>
      <c r="P41" s="17">
        <f t="shared" si="76"/>
        <v>-1389.910056667776</v>
      </c>
      <c r="Q41" s="17">
        <f t="shared" si="76"/>
        <v>-1406.1232624184142</v>
      </c>
      <c r="R41" s="17">
        <f t="shared" si="76"/>
        <v>-1427.8102082050395</v>
      </c>
      <c r="S41" s="17">
        <f t="shared" si="76"/>
        <v>-1438.5653337626532</v>
      </c>
      <c r="T41" s="17">
        <f t="shared" si="76"/>
        <v>-1404.3988883813004</v>
      </c>
      <c r="U41" s="17">
        <f t="shared" si="76"/>
        <v>-1392.0439968467058</v>
      </c>
      <c r="V41" s="17">
        <f t="shared" si="76"/>
        <v>-1434.5394607746948</v>
      </c>
      <c r="W41" s="17">
        <f t="shared" si="76"/>
        <v>-1523.0845653459492</v>
      </c>
      <c r="X41" s="17">
        <f t="shared" ref="X41:Y41" si="77">+X38+X39</f>
        <v>-1468.9241596580598</v>
      </c>
      <c r="Y41" s="17">
        <f t="shared" si="77"/>
        <v>-1473.9029385369445</v>
      </c>
    </row>
    <row r="42" spans="3:27" s="7" customFormat="1" ht="14.1" customHeight="1" x14ac:dyDescent="0.25">
      <c r="D42" s="13" t="s">
        <v>205</v>
      </c>
      <c r="E42" s="13"/>
      <c r="F42" s="13"/>
      <c r="G42" s="22" t="s">
        <v>149</v>
      </c>
      <c r="H42" s="22"/>
      <c r="I42" s="22"/>
      <c r="J42" s="22"/>
      <c r="K42" s="13"/>
      <c r="L42" s="176">
        <f t="shared" ref="L42:V42" si="78">+(-L41/(L23*12))</f>
        <v>3.6402973881562088</v>
      </c>
      <c r="M42" s="176">
        <f t="shared" si="78"/>
        <v>3.7743010704976756</v>
      </c>
      <c r="N42" s="176">
        <f t="shared" si="78"/>
        <v>3.7508865916535461</v>
      </c>
      <c r="O42" s="176">
        <f t="shared" si="78"/>
        <v>3.8570603813860851</v>
      </c>
      <c r="P42" s="176">
        <f t="shared" si="78"/>
        <v>3.6464173103998223</v>
      </c>
      <c r="Q42" s="176">
        <f t="shared" si="78"/>
        <v>3.7058640673626022</v>
      </c>
      <c r="R42" s="176">
        <f t="shared" si="78"/>
        <v>3.7500867936636646</v>
      </c>
      <c r="S42" s="176">
        <f t="shared" si="78"/>
        <v>3.8080705316500176</v>
      </c>
      <c r="T42" s="176">
        <f t="shared" si="78"/>
        <v>3.5334659516022726</v>
      </c>
      <c r="U42" s="176">
        <f t="shared" si="78"/>
        <v>3.4944770577204198</v>
      </c>
      <c r="V42" s="176">
        <f t="shared" si="78"/>
        <v>3.6017432330538184</v>
      </c>
      <c r="W42" s="176">
        <f t="shared" ref="W42:X42" si="79">+(-W41/(W23*12))</f>
        <v>3.8558930701044734</v>
      </c>
      <c r="X42" s="176">
        <f t="shared" si="79"/>
        <v>3.557890022871971</v>
      </c>
      <c r="Y42" s="176">
        <f t="shared" ref="Y42" si="80">+(-Y41/(Y23*12))</f>
        <v>3.5697443391993295</v>
      </c>
    </row>
    <row r="43" spans="3:27" s="7" customFormat="1" ht="14.1" customHeight="1" x14ac:dyDescent="0.25">
      <c r="D43" s="54"/>
      <c r="E43" s="28"/>
      <c r="F43" s="55"/>
      <c r="G43" s="43"/>
      <c r="H43" s="58"/>
      <c r="I43" s="58"/>
      <c r="J43" s="58"/>
      <c r="K43" s="28"/>
      <c r="L43" s="28"/>
      <c r="M43" s="56"/>
      <c r="N43" s="56"/>
      <c r="O43" s="56"/>
      <c r="P43" s="56"/>
      <c r="Q43" s="56"/>
      <c r="R43" s="56"/>
      <c r="S43" s="56"/>
      <c r="T43" s="56"/>
      <c r="U43" s="56"/>
      <c r="V43" s="56"/>
      <c r="W43" s="56"/>
      <c r="X43" s="56"/>
      <c r="Y43" s="56"/>
    </row>
    <row r="44" spans="3:27" s="7" customFormat="1" ht="14.1" customHeight="1" x14ac:dyDescent="0.25">
      <c r="D44" s="33" t="s">
        <v>152</v>
      </c>
      <c r="E44" s="12"/>
      <c r="F44" s="12"/>
      <c r="G44" s="39"/>
      <c r="H44" s="39"/>
      <c r="I44" s="39"/>
      <c r="J44" s="39"/>
      <c r="K44" s="12"/>
      <c r="L44" s="12"/>
      <c r="M44" s="12"/>
      <c r="N44" s="12"/>
      <c r="O44" s="12"/>
      <c r="P44" s="12"/>
      <c r="Q44" s="12"/>
      <c r="R44" s="12"/>
      <c r="S44" s="12"/>
      <c r="T44" s="12"/>
      <c r="U44" s="12"/>
      <c r="V44" s="12"/>
      <c r="W44" s="12"/>
      <c r="X44" s="12"/>
      <c r="Y44" s="12"/>
    </row>
    <row r="45" spans="3:27" s="20" customFormat="1" ht="14.1" customHeight="1" x14ac:dyDescent="0.25">
      <c r="D45" s="13" t="s">
        <v>168</v>
      </c>
      <c r="E45" s="13"/>
      <c r="F45" s="13"/>
      <c r="G45" s="22" t="s">
        <v>142</v>
      </c>
      <c r="H45" s="44">
        <v>91.310487966743366</v>
      </c>
      <c r="I45" s="44">
        <v>99.11087601290798</v>
      </c>
      <c r="J45" s="44">
        <v>90.731520440311414</v>
      </c>
      <c r="K45" s="44">
        <v>92.338649906337082</v>
      </c>
      <c r="L45" s="44">
        <v>95.350999999999999</v>
      </c>
      <c r="M45" s="44">
        <v>94.44</v>
      </c>
      <c r="N45" s="44">
        <v>103.36199999999999</v>
      </c>
      <c r="O45" s="44">
        <v>92.801000000000002</v>
      </c>
      <c r="P45" s="44">
        <v>93.423000000000002</v>
      </c>
      <c r="Q45" s="44">
        <v>89.801000000000002</v>
      </c>
      <c r="R45" s="44">
        <v>89.99</v>
      </c>
      <c r="S45" s="44">
        <v>89.058999999999997</v>
      </c>
      <c r="T45" s="44">
        <v>95.545000000000002</v>
      </c>
      <c r="U45" s="44">
        <v>94.709000000000003</v>
      </c>
      <c r="V45" s="44">
        <v>86.456000000000003</v>
      </c>
      <c r="W45" s="44">
        <v>90.658000000000001</v>
      </c>
      <c r="X45" s="44">
        <v>98.251999999999995</v>
      </c>
      <c r="Y45" s="44">
        <v>90.728999999999999</v>
      </c>
    </row>
    <row r="46" spans="3:27" s="20" customFormat="1" ht="14.1" customHeight="1" x14ac:dyDescent="0.25">
      <c r="D46" s="13" t="s">
        <v>13</v>
      </c>
      <c r="E46" s="13"/>
      <c r="F46" s="13"/>
      <c r="G46" s="22" t="s">
        <v>142</v>
      </c>
      <c r="H46" s="44">
        <v>-89.687953492753508</v>
      </c>
      <c r="I46" s="44">
        <v>-101.83601559458519</v>
      </c>
      <c r="J46" s="44">
        <v>-103.97456653307324</v>
      </c>
      <c r="K46" s="44">
        <v>-125.64100000000001</v>
      </c>
      <c r="L46" s="44">
        <v>-133.18299999999999</v>
      </c>
      <c r="M46" s="44">
        <v>-144.40899999999999</v>
      </c>
      <c r="N46" s="44">
        <v>-129.917</v>
      </c>
      <c r="O46" s="44">
        <v>-137.33799999999999</v>
      </c>
      <c r="P46" s="44">
        <v>-133.917</v>
      </c>
      <c r="Q46" s="44">
        <v>-134.964</v>
      </c>
      <c r="R46" s="44">
        <v>-137.32499999999999</v>
      </c>
      <c r="S46" s="44">
        <v>-144.90100000000001</v>
      </c>
      <c r="T46" s="44">
        <v>-148.19999999999999</v>
      </c>
      <c r="U46" s="44">
        <v>-154.47399999999999</v>
      </c>
      <c r="V46" s="44">
        <v>-152.01499999999999</v>
      </c>
      <c r="W46" s="44">
        <v>-172.78</v>
      </c>
      <c r="X46" s="44">
        <v>-171.392</v>
      </c>
      <c r="Y46" s="44">
        <v>-174.53899999999999</v>
      </c>
    </row>
    <row r="47" spans="3:27" s="7" customFormat="1" ht="14.1" customHeight="1" x14ac:dyDescent="0.25">
      <c r="D47" s="13" t="s">
        <v>150</v>
      </c>
      <c r="E47" s="13"/>
      <c r="F47" s="13"/>
      <c r="G47" s="22" t="s">
        <v>142</v>
      </c>
      <c r="H47" s="44">
        <v>-134.73099999999999</v>
      </c>
      <c r="I47" s="44">
        <v>-136.36799999999999</v>
      </c>
      <c r="J47" s="44">
        <v>-135.06399999999999</v>
      </c>
      <c r="K47" s="44">
        <v>-140.27699999999999</v>
      </c>
      <c r="L47" s="44">
        <v>-145.72499999999999</v>
      </c>
      <c r="M47" s="44">
        <v>-148.27799999999999</v>
      </c>
      <c r="N47" s="44">
        <v>-148.27500000000001</v>
      </c>
      <c r="O47" s="44">
        <v>-141.46</v>
      </c>
      <c r="P47" s="44">
        <v>-145.94</v>
      </c>
      <c r="Q47" s="44">
        <v>-147.25899999999999</v>
      </c>
      <c r="R47" s="44">
        <v>-143.22399999999999</v>
      </c>
      <c r="S47" s="44">
        <v>-141.03399999999999</v>
      </c>
      <c r="T47" s="44">
        <v>-146.92599999999999</v>
      </c>
      <c r="U47" s="44">
        <v>-143.95099999999999</v>
      </c>
      <c r="V47" s="44">
        <v>-140.41300000000001</v>
      </c>
      <c r="W47" s="44">
        <v>-149.16200000000001</v>
      </c>
      <c r="X47" s="44">
        <v>-147.53200000000001</v>
      </c>
      <c r="Y47" s="44">
        <v>-145.71799999999999</v>
      </c>
    </row>
    <row r="48" spans="3:27" s="20" customFormat="1" ht="14.1" customHeight="1" x14ac:dyDescent="0.25">
      <c r="D48" s="13" t="s">
        <v>417</v>
      </c>
      <c r="E48" s="13"/>
      <c r="F48" s="13"/>
      <c r="G48" s="22" t="s">
        <v>142</v>
      </c>
      <c r="H48" s="22"/>
      <c r="I48" s="22"/>
      <c r="J48" s="22"/>
      <c r="K48" s="23"/>
      <c r="L48" s="17">
        <f t="shared" ref="L48:T48" si="81">L46+L47</f>
        <v>-278.90800000000002</v>
      </c>
      <c r="M48" s="17">
        <f t="shared" si="81"/>
        <v>-292.68700000000001</v>
      </c>
      <c r="N48" s="17">
        <f t="shared" si="81"/>
        <v>-278.19200000000001</v>
      </c>
      <c r="O48" s="17">
        <f t="shared" si="81"/>
        <v>-278.798</v>
      </c>
      <c r="P48" s="17">
        <f t="shared" si="81"/>
        <v>-279.85699999999997</v>
      </c>
      <c r="Q48" s="17">
        <f t="shared" si="81"/>
        <v>-282.22299999999996</v>
      </c>
      <c r="R48" s="17">
        <f t="shared" si="81"/>
        <v>-280.54899999999998</v>
      </c>
      <c r="S48" s="17">
        <f t="shared" si="81"/>
        <v>-285.935</v>
      </c>
      <c r="T48" s="17">
        <f t="shared" si="81"/>
        <v>-295.12599999999998</v>
      </c>
      <c r="U48" s="17">
        <f t="shared" ref="U48:W48" si="82">U46+U47</f>
        <v>-298.42499999999995</v>
      </c>
      <c r="V48" s="17">
        <f t="shared" si="82"/>
        <v>-292.428</v>
      </c>
      <c r="W48" s="17">
        <f t="shared" si="82"/>
        <v>-321.94200000000001</v>
      </c>
      <c r="X48" s="17">
        <f t="shared" ref="X48:Y48" si="83">X46+X47</f>
        <v>-318.92399999999998</v>
      </c>
      <c r="Y48" s="17">
        <f t="shared" si="83"/>
        <v>-320.25699999999995</v>
      </c>
    </row>
    <row r="49" spans="3:25" s="7" customFormat="1" ht="14.1" customHeight="1" x14ac:dyDescent="0.25">
      <c r="G49" s="41"/>
      <c r="H49" s="41"/>
      <c r="I49" s="41"/>
      <c r="J49" s="41"/>
    </row>
    <row r="50" spans="3:25" s="7" customFormat="1" ht="14.1" customHeight="1" x14ac:dyDescent="0.25">
      <c r="C50" s="47" t="s">
        <v>436</v>
      </c>
      <c r="G50" s="41"/>
      <c r="H50" s="41"/>
      <c r="I50" s="41"/>
      <c r="J50" s="41"/>
    </row>
    <row r="51" spans="3:25" s="7" customFormat="1" ht="14.1" customHeight="1" x14ac:dyDescent="0.25">
      <c r="D51" s="33" t="s">
        <v>151</v>
      </c>
      <c r="E51" s="12"/>
      <c r="F51" s="12"/>
      <c r="G51" s="39"/>
      <c r="H51" s="39"/>
      <c r="I51" s="39"/>
      <c r="J51" s="39"/>
      <c r="K51" s="12"/>
      <c r="L51" s="12"/>
      <c r="M51" s="12"/>
      <c r="N51" s="12"/>
      <c r="O51" s="12"/>
      <c r="P51" s="12"/>
      <c r="Q51" s="12"/>
      <c r="R51" s="12"/>
      <c r="S51" s="12"/>
      <c r="T51" s="12"/>
      <c r="U51" s="12"/>
      <c r="V51" s="12"/>
      <c r="W51" s="12"/>
      <c r="X51" s="12"/>
      <c r="Y51" s="12"/>
    </row>
    <row r="52" spans="3:25" s="20" customFormat="1" ht="14.1" customHeight="1" x14ac:dyDescent="0.25">
      <c r="D52" s="13" t="s">
        <v>169</v>
      </c>
      <c r="E52" s="13"/>
      <c r="F52" s="13"/>
      <c r="G52" s="22" t="s">
        <v>142</v>
      </c>
      <c r="H52" s="22"/>
      <c r="I52" s="22"/>
      <c r="J52" s="22"/>
      <c r="K52" s="44">
        <v>23.808</v>
      </c>
      <c r="L52" s="44">
        <v>19.803000000000001</v>
      </c>
      <c r="M52" s="44">
        <v>21.847999999999999</v>
      </c>
      <c r="N52" s="44">
        <v>20.625</v>
      </c>
      <c r="O52" s="44">
        <v>20.632999999999999</v>
      </c>
      <c r="P52" s="44">
        <v>20.957000000000001</v>
      </c>
      <c r="Q52" s="44">
        <v>23.373000000000001</v>
      </c>
      <c r="R52" s="44">
        <v>25.19</v>
      </c>
      <c r="S52" s="44">
        <v>22.885000000000002</v>
      </c>
      <c r="T52" s="44">
        <v>22.187000000000001</v>
      </c>
      <c r="U52" s="44">
        <v>22.821999999999999</v>
      </c>
      <c r="V52" s="44">
        <v>23.082000000000001</v>
      </c>
      <c r="W52" s="44">
        <v>24.748999999999999</v>
      </c>
      <c r="X52" s="44">
        <v>24.672999999999998</v>
      </c>
      <c r="Y52" s="44">
        <v>30.533000000000001</v>
      </c>
    </row>
    <row r="53" spans="3:25" s="20" customFormat="1" ht="14.1" customHeight="1" x14ac:dyDescent="0.25">
      <c r="D53" s="13" t="s">
        <v>15</v>
      </c>
      <c r="E53" s="13"/>
      <c r="F53" s="13"/>
      <c r="G53" s="22" t="s">
        <v>142</v>
      </c>
      <c r="H53" s="22"/>
      <c r="I53" s="22"/>
      <c r="J53" s="22"/>
      <c r="K53" s="44">
        <v>-3.601</v>
      </c>
      <c r="L53" s="44">
        <v>0.67</v>
      </c>
      <c r="M53" s="44">
        <v>0.26</v>
      </c>
      <c r="N53" s="44">
        <v>1.623</v>
      </c>
      <c r="O53" s="44">
        <v>-0.129</v>
      </c>
      <c r="P53" s="44">
        <v>4.5339999999999998</v>
      </c>
      <c r="Q53" s="44">
        <v>0.44600000000000001</v>
      </c>
      <c r="R53" s="44">
        <v>2.4409999999999998</v>
      </c>
      <c r="S53" s="44">
        <v>-1.1120000000000001</v>
      </c>
      <c r="T53" s="44">
        <v>4.1340000000000003</v>
      </c>
      <c r="U53" s="44">
        <v>4.8730000000000002</v>
      </c>
      <c r="V53" s="44">
        <v>5.0519999999999996</v>
      </c>
      <c r="W53" s="44">
        <v>5.5359999999999996</v>
      </c>
      <c r="X53" s="44">
        <v>6.2080000000000002</v>
      </c>
      <c r="Y53" s="44">
        <v>5.1459999999999999</v>
      </c>
    </row>
    <row r="54" spans="3:25" s="7" customFormat="1" ht="14.1" customHeight="1" x14ac:dyDescent="0.25">
      <c r="D54" s="13" t="s">
        <v>156</v>
      </c>
      <c r="E54" s="13"/>
      <c r="F54" s="13"/>
      <c r="G54" s="22" t="s">
        <v>142</v>
      </c>
      <c r="H54" s="22"/>
      <c r="I54" s="22"/>
      <c r="J54" s="22"/>
      <c r="K54" s="13"/>
      <c r="L54" s="44">
        <v>-1.6</v>
      </c>
      <c r="M54" s="44">
        <v>-1.1000000000000001</v>
      </c>
      <c r="N54" s="44">
        <v>-1.5</v>
      </c>
      <c r="O54" s="44">
        <v>-4.3</v>
      </c>
      <c r="P54" s="44">
        <v>-4.5999999999999996</v>
      </c>
      <c r="Q54" s="44">
        <v>-4.8</v>
      </c>
      <c r="R54" s="44">
        <v>-2.8</v>
      </c>
      <c r="S54" s="44">
        <v>-5.0999999999999996</v>
      </c>
      <c r="T54" s="44">
        <v>-4.5999999999999996</v>
      </c>
      <c r="U54" s="44">
        <v>-4.8</v>
      </c>
      <c r="V54" s="44">
        <v>-3.1</v>
      </c>
      <c r="W54" s="44">
        <v>-4.2</v>
      </c>
      <c r="X54" s="44">
        <v>-1.5</v>
      </c>
      <c r="Y54" s="44">
        <v>-1.4</v>
      </c>
    </row>
    <row r="55" spans="3:25" s="20" customFormat="1" ht="14.1" customHeight="1" x14ac:dyDescent="0.25">
      <c r="D55" s="13" t="s">
        <v>419</v>
      </c>
      <c r="E55" s="13"/>
      <c r="F55" s="13"/>
      <c r="G55" s="22" t="s">
        <v>142</v>
      </c>
      <c r="H55" s="22"/>
      <c r="I55" s="22"/>
      <c r="J55" s="22"/>
      <c r="K55" s="23"/>
      <c r="L55" s="17">
        <f t="shared" ref="L55:T55" si="84">L53+L54</f>
        <v>-0.93</v>
      </c>
      <c r="M55" s="17">
        <f t="shared" si="84"/>
        <v>-0.84000000000000008</v>
      </c>
      <c r="N55" s="17">
        <f t="shared" si="84"/>
        <v>0.123</v>
      </c>
      <c r="O55" s="17">
        <f t="shared" si="84"/>
        <v>-4.4290000000000003</v>
      </c>
      <c r="P55" s="17">
        <f t="shared" si="84"/>
        <v>-6.5999999999999837E-2</v>
      </c>
      <c r="Q55" s="17">
        <f t="shared" si="84"/>
        <v>-4.3540000000000001</v>
      </c>
      <c r="R55" s="17">
        <f t="shared" si="84"/>
        <v>-0.35899999999999999</v>
      </c>
      <c r="S55" s="17">
        <f t="shared" si="84"/>
        <v>-6.2119999999999997</v>
      </c>
      <c r="T55" s="17">
        <f t="shared" si="84"/>
        <v>-0.4659999999999993</v>
      </c>
      <c r="U55" s="17">
        <f t="shared" ref="U55:W55" si="85">U53+U54</f>
        <v>7.3000000000000398E-2</v>
      </c>
      <c r="V55" s="17">
        <f t="shared" si="85"/>
        <v>1.9519999999999995</v>
      </c>
      <c r="W55" s="17">
        <f t="shared" si="85"/>
        <v>1.3359999999999994</v>
      </c>
      <c r="X55" s="17">
        <f t="shared" ref="X55:Y55" si="86">X53+X54</f>
        <v>4.7080000000000002</v>
      </c>
      <c r="Y55" s="17">
        <f t="shared" si="86"/>
        <v>3.746</v>
      </c>
    </row>
    <row r="56" spans="3:25" s="7" customFormat="1" ht="14.1" customHeight="1" x14ac:dyDescent="0.25">
      <c r="G56" s="41"/>
      <c r="H56" s="41"/>
      <c r="I56" s="41"/>
      <c r="J56" s="41"/>
    </row>
    <row r="57" spans="3:25" s="7" customFormat="1" ht="14.1" customHeight="1" x14ac:dyDescent="0.25">
      <c r="C57" s="47" t="s">
        <v>9</v>
      </c>
      <c r="D57" s="47"/>
      <c r="G57" s="41"/>
      <c r="H57" s="41"/>
      <c r="I57" s="41"/>
      <c r="J57" s="41"/>
      <c r="K57" s="51"/>
      <c r="L57" s="51"/>
      <c r="M57" s="51"/>
      <c r="N57" s="51"/>
      <c r="O57" s="51"/>
      <c r="P57" s="51"/>
      <c r="Q57" s="51"/>
      <c r="R57" s="51"/>
      <c r="S57" s="51"/>
      <c r="T57" s="51"/>
      <c r="U57" s="51"/>
      <c r="V57" s="51"/>
      <c r="W57" s="51"/>
      <c r="X57" s="51"/>
      <c r="Y57" s="51"/>
    </row>
    <row r="58" spans="3:25" s="7" customFormat="1" ht="14.1" customHeight="1" x14ac:dyDescent="0.25">
      <c r="D58" s="99" t="s">
        <v>157</v>
      </c>
      <c r="E58" s="12"/>
      <c r="F58" s="12"/>
      <c r="G58" s="39"/>
      <c r="H58" s="39"/>
      <c r="I58" s="39"/>
      <c r="J58" s="39"/>
      <c r="K58" s="12"/>
      <c r="L58" s="227"/>
      <c r="M58" s="227"/>
      <c r="N58" s="227"/>
      <c r="O58" s="12"/>
      <c r="P58" s="12"/>
      <c r="Q58" s="12"/>
      <c r="R58" s="12"/>
      <c r="S58" s="12"/>
      <c r="T58" s="12"/>
      <c r="U58" s="12"/>
      <c r="V58" s="12"/>
      <c r="W58" s="12"/>
      <c r="X58" s="12"/>
      <c r="Y58" s="12"/>
    </row>
    <row r="59" spans="3:25" s="20" customFormat="1" ht="14.1" customHeight="1" x14ac:dyDescent="0.25">
      <c r="D59" s="13" t="s">
        <v>197</v>
      </c>
      <c r="E59" s="13"/>
      <c r="F59" s="13"/>
      <c r="G59" s="22" t="s">
        <v>142</v>
      </c>
      <c r="H59" s="5">
        <v>596.32299999999998</v>
      </c>
      <c r="I59" s="5">
        <v>626.13300000000004</v>
      </c>
      <c r="J59" s="5">
        <v>633.77700000000004</v>
      </c>
      <c r="K59" s="17">
        <f t="shared" ref="K59:Y59" si="87">+K29+K45+K52</f>
        <v>652.61464990633704</v>
      </c>
      <c r="L59" s="17">
        <f t="shared" si="87"/>
        <v>682.01499999999999</v>
      </c>
      <c r="M59" s="17">
        <f t="shared" si="87"/>
        <v>698.33600000000001</v>
      </c>
      <c r="N59" s="17">
        <f t="shared" si="87"/>
        <v>721.97899999999993</v>
      </c>
      <c r="O59" s="17">
        <f t="shared" si="87"/>
        <v>724.69100000000003</v>
      </c>
      <c r="P59" s="17">
        <f t="shared" si="87"/>
        <v>757.86900000000003</v>
      </c>
      <c r="Q59" s="17">
        <f t="shared" si="87"/>
        <v>765.74500000000012</v>
      </c>
      <c r="R59" s="17">
        <f t="shared" si="87"/>
        <v>780.98500000000001</v>
      </c>
      <c r="S59" s="17">
        <f t="shared" si="87"/>
        <v>785.37399999999991</v>
      </c>
      <c r="T59" s="17">
        <f t="shared" si="87"/>
        <v>834.43</v>
      </c>
      <c r="U59" s="17">
        <f t="shared" si="87"/>
        <v>849.08900000000006</v>
      </c>
      <c r="V59" s="17">
        <f t="shared" si="87"/>
        <v>854.26900000000001</v>
      </c>
      <c r="W59" s="17">
        <f t="shared" si="87"/>
        <v>870.22900000000004</v>
      </c>
      <c r="X59" s="17">
        <f t="shared" si="87"/>
        <v>919.89799999999991</v>
      </c>
      <c r="Y59" s="17">
        <f t="shared" si="87"/>
        <v>927.85300000000007</v>
      </c>
    </row>
    <row r="60" spans="3:25" s="7" customFormat="1" ht="14.1" customHeight="1" x14ac:dyDescent="0.25">
      <c r="D60" s="34" t="s">
        <v>146</v>
      </c>
      <c r="E60" s="19"/>
      <c r="F60" s="19"/>
      <c r="G60" s="42" t="s">
        <v>144</v>
      </c>
      <c r="H60" s="22"/>
      <c r="I60" s="22"/>
      <c r="J60" s="22"/>
      <c r="K60" s="13"/>
      <c r="L60" s="36">
        <f t="shared" ref="L60:N60" si="88">+IFERROR(L59/H59-1,"n.a.")</f>
        <v>0.14370064545556693</v>
      </c>
      <c r="M60" s="36">
        <f t="shared" si="88"/>
        <v>0.11531575559825136</v>
      </c>
      <c r="N60" s="36">
        <f t="shared" si="88"/>
        <v>0.13916882436566791</v>
      </c>
      <c r="O60" s="36">
        <f>+IFERROR(O59/K59-1,"n.a.")</f>
        <v>0.11044243353103922</v>
      </c>
      <c r="P60" s="36">
        <f>+IFERROR(P59/L59-1,"n.a.")</f>
        <v>0.11122042770320317</v>
      </c>
      <c r="Q60" s="36">
        <f t="shared" ref="Q60" si="89">+IFERROR(Q59/M59-1,"n.a.")</f>
        <v>9.652803235118923E-2</v>
      </c>
      <c r="R60" s="36">
        <f t="shared" ref="R60" si="90">+IFERROR(R59/N59-1,"n.a.")</f>
        <v>8.1728138907087411E-2</v>
      </c>
      <c r="S60" s="36">
        <f t="shared" ref="S60" si="91">+IFERROR(S59/O59-1,"n.a.")</f>
        <v>8.3736378677256695E-2</v>
      </c>
      <c r="T60" s="36">
        <f t="shared" ref="T60" si="92">+IFERROR(T59/P59-1,"n.a.")</f>
        <v>0.10102141663005071</v>
      </c>
      <c r="U60" s="36">
        <f t="shared" ref="U60" si="93">+IFERROR(U59/Q59-1,"n.a.")</f>
        <v>0.10884041031936209</v>
      </c>
      <c r="V60" s="36">
        <f t="shared" ref="V60:Y60" si="94">+IFERROR(V59/R59-1,"n.a.")</f>
        <v>9.383534895036405E-2</v>
      </c>
      <c r="W60" s="36">
        <f t="shared" si="94"/>
        <v>0.10804406562987845</v>
      </c>
      <c r="X60" s="36">
        <f t="shared" si="94"/>
        <v>0.10242680632287904</v>
      </c>
      <c r="Y60" s="36">
        <f t="shared" si="94"/>
        <v>9.276294946701702E-2</v>
      </c>
    </row>
    <row r="61" spans="3:25" s="20" customFormat="1" ht="14.1" customHeight="1" x14ac:dyDescent="0.25">
      <c r="D61" s="13" t="s">
        <v>1</v>
      </c>
      <c r="E61" s="13"/>
      <c r="F61" s="13"/>
      <c r="G61" s="22" t="s">
        <v>142</v>
      </c>
      <c r="H61" s="22"/>
      <c r="I61" s="22"/>
      <c r="J61" s="22"/>
      <c r="K61" s="17">
        <f>+K31+K46+K53</f>
        <v>251.10499999999996</v>
      </c>
      <c r="L61" s="271">
        <f>+'Quarterly IS'!D30</f>
        <v>276.323440842298</v>
      </c>
      <c r="M61" s="271">
        <f>+'Quarterly IS'!E30</f>
        <v>276.20865135090321</v>
      </c>
      <c r="N61" s="271">
        <f>+'Quarterly IS'!F30</f>
        <v>302.15858062785242</v>
      </c>
      <c r="O61" s="271">
        <f>+'Quarterly IS'!G30</f>
        <v>297.11928953714835</v>
      </c>
      <c r="P61" s="271">
        <f>+'Quarterly IS'!H30</f>
        <v>327.80240647792709</v>
      </c>
      <c r="Q61" s="271">
        <f>+'Quarterly IS'!I30</f>
        <v>330.68059874911671</v>
      </c>
      <c r="R61" s="271">
        <f>+'Quarterly IS'!J30</f>
        <v>343.70681282174104</v>
      </c>
      <c r="S61" s="271">
        <f>+'Quarterly IS'!K30</f>
        <v>338.36643337531683</v>
      </c>
      <c r="T61" s="271">
        <f>+'Quarterly IS'!L30</f>
        <v>374.72112560804175</v>
      </c>
      <c r="U61" s="271">
        <f>+'Quarterly IS'!M30</f>
        <v>381.0163820123035</v>
      </c>
      <c r="V61" s="271">
        <f>+'Quarterly IS'!N30</f>
        <v>396.48481981590726</v>
      </c>
      <c r="W61" s="271">
        <f>+'Quarterly IS'!O30</f>
        <v>381.81933887652576</v>
      </c>
      <c r="X61" s="271">
        <f>+'Quarterly IS'!P30</f>
        <v>418.75533532740229</v>
      </c>
      <c r="Y61" s="271">
        <f>+'Quarterly IS'!Q30</f>
        <v>425.99997120736145</v>
      </c>
    </row>
    <row r="62" spans="3:25" s="7" customFormat="1" ht="14.1" customHeight="1" x14ac:dyDescent="0.25">
      <c r="D62" s="53" t="s">
        <v>175</v>
      </c>
      <c r="E62" s="13"/>
      <c r="F62" s="13"/>
      <c r="G62" s="22" t="s">
        <v>144</v>
      </c>
      <c r="H62" s="22"/>
      <c r="I62" s="22"/>
      <c r="J62" s="22"/>
      <c r="K62" s="13"/>
      <c r="L62" s="52">
        <f t="shared" ref="L62:T62" si="95">+IFERROR(L61/L59,"n.a.")</f>
        <v>0.40515742445884328</v>
      </c>
      <c r="M62" s="52">
        <f t="shared" si="95"/>
        <v>0.39552400470676469</v>
      </c>
      <c r="N62" s="52">
        <f t="shared" si="95"/>
        <v>0.41851436209065979</v>
      </c>
      <c r="O62" s="52">
        <f t="shared" si="95"/>
        <v>0.40999445216947406</v>
      </c>
      <c r="P62" s="52">
        <f t="shared" si="95"/>
        <v>0.43253175216023754</v>
      </c>
      <c r="Q62" s="52">
        <f t="shared" si="95"/>
        <v>0.43184166889645592</v>
      </c>
      <c r="R62" s="52">
        <f t="shared" si="95"/>
        <v>0.44009400029672918</v>
      </c>
      <c r="S62" s="52">
        <f t="shared" si="95"/>
        <v>0.43083477855813518</v>
      </c>
      <c r="T62" s="52">
        <f t="shared" si="95"/>
        <v>0.44907436886023006</v>
      </c>
      <c r="U62" s="52">
        <f t="shared" ref="U62:V62" si="96">+IFERROR(U61/U59,"n.a.")</f>
        <v>0.4487355059508526</v>
      </c>
      <c r="V62" s="52">
        <f t="shared" si="96"/>
        <v>0.46412174597920242</v>
      </c>
      <c r="W62" s="52">
        <f t="shared" ref="W62:X62" si="97">+IFERROR(W61/W59,"n.a.")</f>
        <v>0.43875731431212445</v>
      </c>
      <c r="X62" s="52">
        <f t="shared" si="97"/>
        <v>0.45521931271445565</v>
      </c>
      <c r="Y62" s="52">
        <f t="shared" ref="Y62" si="98">+IFERROR(Y61/Y59,"n.a.")</f>
        <v>0.45912442079441618</v>
      </c>
    </row>
    <row r="63" spans="3:25" s="7" customFormat="1" ht="14.1" customHeight="1" x14ac:dyDescent="0.25">
      <c r="D63" s="76" t="s">
        <v>239</v>
      </c>
      <c r="E63" s="13"/>
      <c r="F63" s="13"/>
      <c r="G63" s="22" t="s">
        <v>142</v>
      </c>
      <c r="H63" s="22"/>
      <c r="I63" s="22"/>
      <c r="J63" s="22"/>
      <c r="K63" s="23"/>
      <c r="L63" s="60">
        <f t="shared" ref="L63:X63" si="99">L65-L61</f>
        <v>-141.96699953791415</v>
      </c>
      <c r="M63" s="60">
        <f t="shared" si="99"/>
        <v>-139.29344892648075</v>
      </c>
      <c r="N63" s="60">
        <f t="shared" si="99"/>
        <v>-143.02656786321734</v>
      </c>
      <c r="O63" s="60">
        <f t="shared" si="99"/>
        <v>-150.68916255422724</v>
      </c>
      <c r="P63" s="60">
        <f t="shared" si="99"/>
        <v>-157.29632446403042</v>
      </c>
      <c r="Q63" s="60">
        <f t="shared" si="99"/>
        <v>-161.53780612802046</v>
      </c>
      <c r="R63" s="60">
        <f t="shared" si="99"/>
        <v>-161.99752894823922</v>
      </c>
      <c r="S63" s="60">
        <f t="shared" si="99"/>
        <v>-165.75583748308085</v>
      </c>
      <c r="T63" s="60">
        <f t="shared" si="99"/>
        <v>-170.85395085580825</v>
      </c>
      <c r="U63" s="60">
        <f t="shared" si="99"/>
        <v>-174.03899839191334</v>
      </c>
      <c r="V63" s="60">
        <f t="shared" si="99"/>
        <v>-183.86397277699561</v>
      </c>
      <c r="W63" s="60">
        <f t="shared" si="99"/>
        <v>-186.21437797127712</v>
      </c>
      <c r="X63" s="60">
        <f t="shared" si="99"/>
        <v>-188.12037383450109</v>
      </c>
      <c r="Y63" s="60">
        <f t="shared" ref="Y63" si="100">Y65-Y61</f>
        <v>-190.0435549425774</v>
      </c>
    </row>
    <row r="64" spans="3:25" s="7" customFormat="1" ht="14.1" customHeight="1" x14ac:dyDescent="0.25">
      <c r="D64" s="34" t="s">
        <v>158</v>
      </c>
      <c r="E64" s="13"/>
      <c r="F64" s="13"/>
      <c r="G64" s="22" t="s">
        <v>144</v>
      </c>
      <c r="H64" s="22"/>
      <c r="I64" s="22"/>
      <c r="J64" s="22"/>
      <c r="K64" s="13"/>
      <c r="L64" s="35">
        <f t="shared" ref="L64:V64" si="101">+IFERROR(-L63/L59,"n.a.")</f>
        <v>0.20815817766165576</v>
      </c>
      <c r="M64" s="35">
        <f t="shared" si="101"/>
        <v>0.19946479764251127</v>
      </c>
      <c r="N64" s="35">
        <f t="shared" si="101"/>
        <v>0.19810350143593838</v>
      </c>
      <c r="O64" s="35">
        <f t="shared" si="101"/>
        <v>0.20793574441275969</v>
      </c>
      <c r="P64" s="35">
        <f t="shared" si="101"/>
        <v>0.20755080952516913</v>
      </c>
      <c r="Q64" s="35">
        <f t="shared" si="101"/>
        <v>0.21095509096111686</v>
      </c>
      <c r="R64" s="35">
        <f t="shared" si="101"/>
        <v>0.20742719635875109</v>
      </c>
      <c r="S64" s="35">
        <f t="shared" si="101"/>
        <v>0.21105338027879822</v>
      </c>
      <c r="T64" s="35">
        <f t="shared" si="101"/>
        <v>0.20475528307444393</v>
      </c>
      <c r="U64" s="35">
        <f t="shared" si="101"/>
        <v>0.2049714439733801</v>
      </c>
      <c r="V64" s="35">
        <f t="shared" si="101"/>
        <v>0.21522959720766599</v>
      </c>
      <c r="W64" s="35">
        <f t="shared" ref="W64:X64" si="102">+IFERROR(-W63/W59,"n.a.")</f>
        <v>0.21398319059842535</v>
      </c>
      <c r="X64" s="35">
        <f t="shared" si="102"/>
        <v>0.20450134018608707</v>
      </c>
      <c r="Y64" s="35">
        <f t="shared" ref="Y64" si="103">+IFERROR(-Y63/Y59,"n.a.")</f>
        <v>0.20482075818322232</v>
      </c>
    </row>
    <row r="65" spans="4:25" s="20" customFormat="1" ht="14.1" customHeight="1" x14ac:dyDescent="0.25">
      <c r="D65" s="13" t="s">
        <v>242</v>
      </c>
      <c r="E65" s="13"/>
      <c r="F65" s="13"/>
      <c r="G65" s="22" t="s">
        <v>142</v>
      </c>
      <c r="H65" s="5">
        <v>158.1</v>
      </c>
      <c r="I65" s="5">
        <v>143.6</v>
      </c>
      <c r="J65" s="5">
        <v>154</v>
      </c>
      <c r="K65" s="5">
        <v>116.7</v>
      </c>
      <c r="L65" s="271">
        <f>+'Quarterly IS'!D34</f>
        <v>134.35644130438385</v>
      </c>
      <c r="M65" s="271">
        <f>+'Quarterly IS'!E34</f>
        <v>136.91520242442246</v>
      </c>
      <c r="N65" s="271">
        <f>+'Quarterly IS'!F34</f>
        <v>159.13201276463508</v>
      </c>
      <c r="O65" s="271">
        <f>+'Quarterly IS'!G34</f>
        <v>146.43012698292111</v>
      </c>
      <c r="P65" s="271">
        <f>+'Quarterly IS'!H34</f>
        <v>170.50608201389667</v>
      </c>
      <c r="Q65" s="271">
        <f>+'Quarterly IS'!I34</f>
        <v>169.14279262109625</v>
      </c>
      <c r="R65" s="271">
        <f>+'Quarterly IS'!J34</f>
        <v>181.70928387350182</v>
      </c>
      <c r="S65" s="271">
        <f>+'Quarterly IS'!K34</f>
        <v>172.61059589223598</v>
      </c>
      <c r="T65" s="271">
        <f>+'Quarterly IS'!L34</f>
        <v>203.8671747522335</v>
      </c>
      <c r="U65" s="271">
        <f>+'Quarterly IS'!M34</f>
        <v>206.97738362039016</v>
      </c>
      <c r="V65" s="271">
        <f>+'Quarterly IS'!N34</f>
        <v>212.62084703891165</v>
      </c>
      <c r="W65" s="271">
        <f>+'Quarterly IS'!O34</f>
        <v>195.60496090524865</v>
      </c>
      <c r="X65" s="271">
        <f>+'Quarterly IS'!P34</f>
        <v>230.6349614929012</v>
      </c>
      <c r="Y65" s="271">
        <f>+'Quarterly IS'!Q34</f>
        <v>235.95641626478405</v>
      </c>
    </row>
    <row r="66" spans="4:25" s="7" customFormat="1" ht="14.1" customHeight="1" x14ac:dyDescent="0.25">
      <c r="D66" s="53" t="s">
        <v>248</v>
      </c>
      <c r="E66" s="13"/>
      <c r="F66" s="13"/>
      <c r="G66" s="22" t="s">
        <v>144</v>
      </c>
      <c r="H66" s="22"/>
      <c r="I66" s="22"/>
      <c r="J66" s="22"/>
      <c r="K66" s="13"/>
      <c r="L66" s="52">
        <f t="shared" ref="L66:W66" si="104">+IFERROR(L65/L59,"n.a.")</f>
        <v>0.19699924679718753</v>
      </c>
      <c r="M66" s="52">
        <f t="shared" si="104"/>
        <v>0.19605920706425339</v>
      </c>
      <c r="N66" s="52">
        <f t="shared" si="104"/>
        <v>0.2204108606547214</v>
      </c>
      <c r="O66" s="52">
        <f t="shared" si="104"/>
        <v>0.20205870775671439</v>
      </c>
      <c r="P66" s="52">
        <f t="shared" si="104"/>
        <v>0.22498094263506843</v>
      </c>
      <c r="Q66" s="52">
        <f t="shared" si="104"/>
        <v>0.22088657793533908</v>
      </c>
      <c r="R66" s="52">
        <f t="shared" si="104"/>
        <v>0.23266680393797809</v>
      </c>
      <c r="S66" s="52">
        <f t="shared" si="104"/>
        <v>0.21978139827933699</v>
      </c>
      <c r="T66" s="52">
        <f t="shared" si="104"/>
        <v>0.24431908578578612</v>
      </c>
      <c r="U66" s="52">
        <f t="shared" si="104"/>
        <v>0.2437640619774725</v>
      </c>
      <c r="V66" s="52">
        <f t="shared" si="104"/>
        <v>0.24889214877153643</v>
      </c>
      <c r="W66" s="52">
        <f t="shared" si="104"/>
        <v>0.22477412371369909</v>
      </c>
      <c r="X66" s="52">
        <f t="shared" ref="X66:Y66" si="105">+IFERROR(X65/X59,"n.a.")</f>
        <v>0.25071797252836858</v>
      </c>
      <c r="Y66" s="52">
        <f t="shared" si="105"/>
        <v>0.25430366261119386</v>
      </c>
    </row>
    <row r="67" spans="4:25" s="7" customFormat="1" ht="14.1" customHeight="1" x14ac:dyDescent="0.25">
      <c r="D67" s="76" t="s">
        <v>391</v>
      </c>
      <c r="E67" s="13"/>
      <c r="F67" s="13"/>
      <c r="G67" s="22" t="s">
        <v>142</v>
      </c>
      <c r="H67" s="22"/>
      <c r="I67" s="22"/>
      <c r="J67" s="22"/>
      <c r="K67" s="13"/>
      <c r="L67" s="271">
        <f>+L65+SUM('Quarterly IS'!D16,'Quarterly IS'!D17,'Quarterly IS'!D19)-L122</f>
        <v>61.069406856713464</v>
      </c>
      <c r="M67" s="271">
        <f>+M65+SUM('Quarterly IS'!E16,'Quarterly IS'!E17,'Quarterly IS'!E19)-M122</f>
        <v>48.819319495419549</v>
      </c>
      <c r="N67" s="271">
        <f>+N65+SUM('Quarterly IS'!F16,'Quarterly IS'!F17,'Quarterly IS'!F19)-N122</f>
        <v>72.656487216747607</v>
      </c>
      <c r="O67" s="271">
        <f>+O65+SUM('Quarterly IS'!G16,'Quarterly IS'!G17,'Quarterly IS'!G19)-O122</f>
        <v>37.315261736885674</v>
      </c>
      <c r="P67" s="271">
        <f>+P65+SUM('Quarterly IS'!H16,'Quarterly IS'!H17,'Quarterly IS'!H19)-P122</f>
        <v>71.555792024707387</v>
      </c>
      <c r="Q67" s="271">
        <f>+Q65+SUM('Quarterly IS'!I16,'Quarterly IS'!I17,'Quarterly IS'!I19)-Q122</f>
        <v>57.385126109567182</v>
      </c>
      <c r="R67" s="271">
        <f>+R65+SUM('Quarterly IS'!J16,'Quarterly IS'!J17,'Quarterly IS'!J19)-R122</f>
        <v>76.977919249561808</v>
      </c>
      <c r="S67" s="271">
        <f>+S65+SUM('Quarterly IS'!K16,'Quarterly IS'!K17,'Quarterly IS'!K19)-S122</f>
        <v>79.913874646144038</v>
      </c>
      <c r="T67" s="271">
        <f>+T65+SUM('Quarterly IS'!L16,'Quarterly IS'!L17,'Quarterly IS'!L19)-T122</f>
        <v>88.30827412958007</v>
      </c>
      <c r="U67" s="271">
        <f>+U65+SUM('Quarterly IS'!M16,'Quarterly IS'!M17,'Quarterly IS'!M19)-U122</f>
        <v>80.176180497251707</v>
      </c>
      <c r="V67" s="271">
        <f>+V65+SUM('Quarterly IS'!N16,'Quarterly IS'!N17,'Quarterly IS'!N19)-V122</f>
        <v>112.95613900338728</v>
      </c>
      <c r="W67" s="271">
        <f>+W65+SUM('Quarterly IS'!O16,'Quarterly IS'!O17,'Quarterly IS'!O19)-W122</f>
        <v>79.126363606026771</v>
      </c>
      <c r="X67" s="271">
        <f>+X65+SUM('Quarterly IS'!P16,'Quarterly IS'!P17,'Quarterly IS'!P19)-X122</f>
        <v>105.0087388357791</v>
      </c>
      <c r="Y67" s="271">
        <f>+Y65+SUM('Quarterly IS'!Q16,'Quarterly IS'!Q17,'Quarterly IS'!Q19)-Y122</f>
        <v>114.62515689989891</v>
      </c>
    </row>
    <row r="68" spans="4:25" s="7" customFormat="1" ht="14.1" customHeight="1" x14ac:dyDescent="0.25">
      <c r="D68" s="53" t="s">
        <v>416</v>
      </c>
      <c r="E68" s="13"/>
      <c r="F68" s="13"/>
      <c r="G68" s="22" t="s">
        <v>144</v>
      </c>
      <c r="H68" s="22"/>
      <c r="I68" s="22"/>
      <c r="J68" s="22"/>
      <c r="K68" s="13"/>
      <c r="L68" s="52">
        <f>+IFERROR(L67/L59,"n.a.")</f>
        <v>8.9542615421528068E-2</v>
      </c>
      <c r="M68" s="52">
        <f t="shared" ref="M68:Y68" si="106">+IFERROR(M67/M59,"n.a.")</f>
        <v>6.9908066454284976E-2</v>
      </c>
      <c r="N68" s="52">
        <f t="shared" si="106"/>
        <v>0.10063518082485448</v>
      </c>
      <c r="O68" s="52">
        <f t="shared" si="106"/>
        <v>5.1491272469073951E-2</v>
      </c>
      <c r="P68" s="52">
        <f t="shared" si="106"/>
        <v>9.441709850212554E-2</v>
      </c>
      <c r="Q68" s="52">
        <f t="shared" si="106"/>
        <v>7.4940255711192588E-2</v>
      </c>
      <c r="R68" s="52">
        <f t="shared" si="106"/>
        <v>9.8565169945084491E-2</v>
      </c>
      <c r="S68" s="52">
        <f t="shared" si="106"/>
        <v>0.1017526358730287</v>
      </c>
      <c r="T68" s="52">
        <f t="shared" si="106"/>
        <v>0.10583065581244691</v>
      </c>
      <c r="U68" s="52">
        <f t="shared" si="106"/>
        <v>9.4426120815664441E-2</v>
      </c>
      <c r="V68" s="52">
        <f t="shared" si="106"/>
        <v>0.13222549220841126</v>
      </c>
      <c r="W68" s="52">
        <f t="shared" si="106"/>
        <v>9.0925909853644002E-2</v>
      </c>
      <c r="X68" s="52">
        <f t="shared" si="106"/>
        <v>0.11415258956512472</v>
      </c>
      <c r="Y68" s="52">
        <f t="shared" si="106"/>
        <v>0.1235380571059197</v>
      </c>
    </row>
    <row r="69" spans="4:25" s="7" customFormat="1" ht="14.1" customHeight="1" x14ac:dyDescent="0.25">
      <c r="D69" s="29"/>
      <c r="E69" s="28"/>
      <c r="F69" s="28"/>
      <c r="G69" s="58"/>
      <c r="H69" s="58"/>
      <c r="I69" s="58"/>
      <c r="J69" s="58"/>
      <c r="K69" s="28"/>
      <c r="L69" s="228"/>
      <c r="M69" s="228"/>
      <c r="N69" s="228"/>
      <c r="O69" s="228"/>
      <c r="P69" s="228"/>
      <c r="Q69" s="228"/>
      <c r="R69" s="228"/>
      <c r="S69" s="228"/>
      <c r="T69" s="228"/>
      <c r="U69" s="228"/>
      <c r="V69" s="228"/>
      <c r="W69" s="228"/>
      <c r="X69" s="228"/>
      <c r="Y69" s="228"/>
    </row>
    <row r="70" spans="4:25" s="7" customFormat="1" ht="14.1" customHeight="1" x14ac:dyDescent="0.25">
      <c r="D70" s="33" t="s">
        <v>196</v>
      </c>
      <c r="E70" s="12"/>
      <c r="F70" s="12"/>
      <c r="G70" s="39"/>
      <c r="H70" s="39"/>
      <c r="I70" s="39"/>
      <c r="J70" s="39"/>
      <c r="K70" s="12"/>
      <c r="L70" s="12"/>
      <c r="M70" s="12"/>
      <c r="N70" s="12"/>
      <c r="O70" s="12"/>
      <c r="P70" s="12"/>
      <c r="Q70" s="12"/>
      <c r="R70" s="12"/>
      <c r="S70" s="12"/>
      <c r="T70" s="12"/>
      <c r="U70" s="12"/>
      <c r="V70" s="12"/>
      <c r="W70" s="12"/>
      <c r="X70" s="12"/>
      <c r="Y70" s="12"/>
    </row>
    <row r="71" spans="4:25" s="7" customFormat="1" ht="14.1" customHeight="1" x14ac:dyDescent="0.25">
      <c r="D71" s="13" t="s">
        <v>437</v>
      </c>
      <c r="E71" s="26"/>
      <c r="F71" s="13"/>
      <c r="G71" s="22" t="s">
        <v>142</v>
      </c>
      <c r="H71" s="22"/>
      <c r="I71" s="22"/>
      <c r="J71" s="22"/>
      <c r="K71" s="44"/>
      <c r="L71" s="44">
        <v>7062.0230000000001</v>
      </c>
      <c r="M71" s="44">
        <v>7128.5389999999998</v>
      </c>
      <c r="N71" s="44">
        <v>7188.9260000000004</v>
      </c>
      <c r="O71" s="44">
        <v>7222.732</v>
      </c>
      <c r="P71" s="44">
        <v>7253.6719999999996</v>
      </c>
      <c r="Q71" s="44">
        <v>7237.6409999999996</v>
      </c>
      <c r="R71" s="44">
        <v>7228.317</v>
      </c>
      <c r="S71" s="44">
        <v>7245.3360000000002</v>
      </c>
      <c r="T71" s="44">
        <v>7244.1390000000001</v>
      </c>
      <c r="U71" s="44">
        <v>7280.99</v>
      </c>
      <c r="V71" s="44">
        <v>7318.2359999999999</v>
      </c>
      <c r="W71" s="44">
        <v>7396.8005365886438</v>
      </c>
      <c r="X71" s="44">
        <v>7486.1879708093438</v>
      </c>
      <c r="Y71" s="44">
        <v>7528.054933108232</v>
      </c>
    </row>
    <row r="72" spans="4:25" s="7" customFormat="1" ht="14.1" customHeight="1" x14ac:dyDescent="0.25">
      <c r="D72" s="13" t="s">
        <v>160</v>
      </c>
      <c r="E72" s="26"/>
      <c r="F72" s="13"/>
      <c r="G72" s="22" t="s">
        <v>142</v>
      </c>
      <c r="H72" s="22"/>
      <c r="I72" s="22"/>
      <c r="J72" s="22"/>
      <c r="K72" s="13"/>
      <c r="L72" s="60">
        <f t="shared" ref="L72:S72" si="107">L73-L71</f>
        <v>153.92799999999988</v>
      </c>
      <c r="M72" s="60">
        <f t="shared" si="107"/>
        <v>158.19700000000012</v>
      </c>
      <c r="N72" s="60">
        <f t="shared" si="107"/>
        <v>156.05499999999938</v>
      </c>
      <c r="O72" s="60">
        <f t="shared" si="107"/>
        <v>159.92600000000039</v>
      </c>
      <c r="P72" s="60">
        <f t="shared" si="107"/>
        <v>169.27600000000075</v>
      </c>
      <c r="Q72" s="60">
        <f t="shared" si="107"/>
        <v>162.84100000000035</v>
      </c>
      <c r="R72" s="60">
        <f t="shared" si="107"/>
        <v>159.97999999999956</v>
      </c>
      <c r="S72" s="60">
        <f t="shared" si="107"/>
        <v>162.33299999999963</v>
      </c>
      <c r="T72" s="60">
        <f>T73-T71</f>
        <v>180.88699999999972</v>
      </c>
      <c r="U72" s="60">
        <f t="shared" ref="U72:W72" si="108">U73-U71</f>
        <v>182.81800000000021</v>
      </c>
      <c r="V72" s="60">
        <f t="shared" si="108"/>
        <v>179.06500000000051</v>
      </c>
      <c r="W72" s="60">
        <f t="shared" si="108"/>
        <v>190.97846341135664</v>
      </c>
      <c r="X72" s="60">
        <f t="shared" ref="X72:Y72" si="109">X73-X71</f>
        <v>193.91002919065613</v>
      </c>
      <c r="Y72" s="60">
        <f t="shared" si="109"/>
        <v>204.43071180445804</v>
      </c>
    </row>
    <row r="73" spans="4:25" s="7" customFormat="1" ht="14.1" customHeight="1" x14ac:dyDescent="0.25">
      <c r="D73" s="13" t="s">
        <v>438</v>
      </c>
      <c r="E73" s="26"/>
      <c r="F73" s="13"/>
      <c r="G73" s="22" t="s">
        <v>142</v>
      </c>
      <c r="H73" s="22"/>
      <c r="I73" s="22"/>
      <c r="J73" s="22"/>
      <c r="K73" s="44"/>
      <c r="L73" s="44">
        <v>7215.951</v>
      </c>
      <c r="M73" s="44">
        <v>7286.7359999999999</v>
      </c>
      <c r="N73" s="44">
        <v>7344.9809999999998</v>
      </c>
      <c r="O73" s="44">
        <v>7382.6580000000004</v>
      </c>
      <c r="P73" s="44">
        <v>7422.9480000000003</v>
      </c>
      <c r="Q73" s="44">
        <v>7400.482</v>
      </c>
      <c r="R73" s="44">
        <v>7388.2969999999996</v>
      </c>
      <c r="S73" s="44">
        <v>7407.6689999999999</v>
      </c>
      <c r="T73" s="44">
        <v>7425.0259999999998</v>
      </c>
      <c r="U73" s="44">
        <v>7463.808</v>
      </c>
      <c r="V73" s="44">
        <v>7497.3010000000004</v>
      </c>
      <c r="W73" s="44">
        <v>7587.7790000000005</v>
      </c>
      <c r="X73" s="44">
        <v>7680.098</v>
      </c>
      <c r="Y73" s="44">
        <v>7732.4856449126901</v>
      </c>
    </row>
    <row r="74" spans="4:25" s="7" customFormat="1" ht="14.1" customHeight="1" x14ac:dyDescent="0.25">
      <c r="D74" s="13" t="s">
        <v>439</v>
      </c>
      <c r="E74" s="26"/>
      <c r="F74" s="13"/>
      <c r="G74" s="22" t="s">
        <v>149</v>
      </c>
      <c r="H74" s="22"/>
      <c r="I74" s="22"/>
      <c r="J74" s="22"/>
      <c r="K74" s="13"/>
      <c r="L74" s="31">
        <v>6.6</v>
      </c>
      <c r="M74" s="31">
        <v>6.4</v>
      </c>
      <c r="N74" s="31">
        <v>6.2</v>
      </c>
      <c r="O74" s="31">
        <v>6</v>
      </c>
      <c r="P74" s="31">
        <v>5.8</v>
      </c>
      <c r="Q74" s="31">
        <v>5.6</v>
      </c>
      <c r="R74" s="31">
        <v>5.4</v>
      </c>
      <c r="S74" s="31">
        <v>5.3</v>
      </c>
      <c r="T74" s="31">
        <v>5.0999999999999996</v>
      </c>
      <c r="U74" s="31">
        <v>4.9000000000000004</v>
      </c>
      <c r="V74" s="31">
        <v>4.8</v>
      </c>
      <c r="W74" s="31">
        <v>4.8</v>
      </c>
      <c r="X74" s="31">
        <v>4.7</v>
      </c>
      <c r="Y74" s="31">
        <v>4.5</v>
      </c>
    </row>
    <row r="75" spans="4:25" ht="14.1" customHeight="1" x14ac:dyDescent="0.2"/>
    <row r="76" spans="4:25" s="7" customFormat="1" ht="14.1" customHeight="1" x14ac:dyDescent="0.25">
      <c r="D76" s="59" t="s">
        <v>159</v>
      </c>
      <c r="G76" s="41"/>
      <c r="H76" s="41"/>
      <c r="I76" s="41"/>
      <c r="J76" s="41"/>
    </row>
    <row r="77" spans="4:25" s="7" customFormat="1" ht="14.1" customHeight="1" x14ac:dyDescent="0.25">
      <c r="D77" s="13" t="s">
        <v>11</v>
      </c>
      <c r="E77" s="13"/>
      <c r="F77" s="13"/>
      <c r="G77" s="22" t="s">
        <v>142</v>
      </c>
      <c r="H77" s="22"/>
      <c r="I77" s="22"/>
      <c r="J77" s="22"/>
      <c r="K77" s="13"/>
      <c r="L77" s="17">
        <f t="shared" ref="L77:Y77" si="110">L31</f>
        <v>408.995</v>
      </c>
      <c r="M77" s="17">
        <f t="shared" si="110"/>
        <v>420.35700000000003</v>
      </c>
      <c r="N77" s="17">
        <f t="shared" si="110"/>
        <v>430.45299999999997</v>
      </c>
      <c r="O77" s="17">
        <f t="shared" si="110"/>
        <v>434.58600000000001</v>
      </c>
      <c r="P77" s="17">
        <f t="shared" si="110"/>
        <v>457.34500000000003</v>
      </c>
      <c r="Q77" s="17">
        <f t="shared" si="110"/>
        <v>465.19799999999998</v>
      </c>
      <c r="R77" s="17">
        <f t="shared" si="110"/>
        <v>478.59100000000001</v>
      </c>
      <c r="S77" s="17">
        <f t="shared" si="110"/>
        <v>484.15100000000001</v>
      </c>
      <c r="T77" s="17">
        <f t="shared" si="110"/>
        <v>518.71</v>
      </c>
      <c r="U77" s="17">
        <f t="shared" si="110"/>
        <v>530.69799999999998</v>
      </c>
      <c r="V77" s="17">
        <f t="shared" si="110"/>
        <v>543.36</v>
      </c>
      <c r="W77" s="17">
        <f t="shared" si="110"/>
        <v>549.10400000000004</v>
      </c>
      <c r="X77" s="17">
        <f t="shared" si="110"/>
        <v>583.803</v>
      </c>
      <c r="Y77" s="17">
        <f t="shared" si="110"/>
        <v>595.351</v>
      </c>
    </row>
    <row r="78" spans="4:25" s="7" customFormat="1" ht="14.1" customHeight="1" x14ac:dyDescent="0.25">
      <c r="D78" s="53" t="s">
        <v>162</v>
      </c>
      <c r="E78" s="13"/>
      <c r="F78" s="13"/>
      <c r="G78" s="22" t="s">
        <v>142</v>
      </c>
      <c r="H78" s="22"/>
      <c r="I78" s="22"/>
      <c r="J78" s="22"/>
      <c r="K78" s="13"/>
      <c r="L78" s="17">
        <f t="shared" ref="L78:Y78" si="111">-L80/L9*L10</f>
        <v>-104.10818673146015</v>
      </c>
      <c r="M78" s="17">
        <f t="shared" si="111"/>
        <v>-111.42097519113672</v>
      </c>
      <c r="N78" s="17">
        <f t="shared" si="111"/>
        <v>-115.80220978780793</v>
      </c>
      <c r="O78" s="17">
        <f t="shared" si="111"/>
        <v>-126.00528204944683</v>
      </c>
      <c r="P78" s="17">
        <f t="shared" si="111"/>
        <v>-130.30267790254732</v>
      </c>
      <c r="Q78" s="17">
        <f t="shared" si="111"/>
        <v>-131.88733139853517</v>
      </c>
      <c r="R78" s="17">
        <f t="shared" si="111"/>
        <v>-129.77938106458885</v>
      </c>
      <c r="S78" s="17">
        <f t="shared" si="111"/>
        <v>-140.89165022338048</v>
      </c>
      <c r="T78" s="17">
        <f t="shared" si="111"/>
        <v>-141.98613201423785</v>
      </c>
      <c r="U78" s="17">
        <f t="shared" si="111"/>
        <v>-140.66465383736281</v>
      </c>
      <c r="V78" s="17">
        <f t="shared" si="111"/>
        <v>-139.85755564930733</v>
      </c>
      <c r="W78" s="17">
        <f t="shared" si="111"/>
        <v>-154.51845223891189</v>
      </c>
      <c r="X78" s="17">
        <f t="shared" si="111"/>
        <v>-156.18629912396253</v>
      </c>
      <c r="Y78" s="17">
        <f t="shared" si="111"/>
        <v>-159.70475290517061</v>
      </c>
    </row>
    <row r="79" spans="4:25" s="7" customFormat="1" ht="14.1" customHeight="1" x14ac:dyDescent="0.25">
      <c r="D79" s="53" t="s">
        <v>240</v>
      </c>
      <c r="E79" s="13"/>
      <c r="F79" s="13"/>
      <c r="G79" s="22" t="s">
        <v>142</v>
      </c>
      <c r="H79" s="22"/>
      <c r="I79" s="22"/>
      <c r="J79" s="22"/>
      <c r="K79" s="13"/>
      <c r="L79" s="17">
        <f t="shared" ref="L79:S79" si="112">L80-L78</f>
        <v>-174.79981326853988</v>
      </c>
      <c r="M79" s="17">
        <f t="shared" si="112"/>
        <v>-181.26602480886328</v>
      </c>
      <c r="N79" s="17">
        <f t="shared" si="112"/>
        <v>-162.38979021219208</v>
      </c>
      <c r="O79" s="17">
        <f t="shared" si="112"/>
        <v>-152.79271795055317</v>
      </c>
      <c r="P79" s="17">
        <f t="shared" si="112"/>
        <v>-149.55432209745265</v>
      </c>
      <c r="Q79" s="17">
        <f t="shared" si="112"/>
        <v>-150.33566860146479</v>
      </c>
      <c r="R79" s="17">
        <f t="shared" si="112"/>
        <v>-150.76961893541113</v>
      </c>
      <c r="S79" s="17">
        <f t="shared" si="112"/>
        <v>-145.04334977661952</v>
      </c>
      <c r="T79" s="17">
        <f>T80-T78</f>
        <v>-153.13986798576212</v>
      </c>
      <c r="U79" s="17">
        <f t="shared" ref="U79:V79" si="113">U80-U78</f>
        <v>-157.76034616263715</v>
      </c>
      <c r="V79" s="17">
        <f t="shared" si="113"/>
        <v>-152.57044435069267</v>
      </c>
      <c r="W79" s="17">
        <f t="shared" ref="W79:X79" si="114">W80-W78</f>
        <v>-167.42354776108812</v>
      </c>
      <c r="X79" s="17">
        <f t="shared" si="114"/>
        <v>-162.73770087603745</v>
      </c>
      <c r="Y79" s="17">
        <f t="shared" ref="Y79" si="115">Y80-Y78</f>
        <v>-160.55224709482934</v>
      </c>
    </row>
    <row r="80" spans="4:25" s="7" customFormat="1" ht="14.1" customHeight="1" x14ac:dyDescent="0.25">
      <c r="D80" s="13" t="s">
        <v>417</v>
      </c>
      <c r="E80" s="13"/>
      <c r="F80" s="13"/>
      <c r="G80" s="22" t="s">
        <v>142</v>
      </c>
      <c r="H80" s="22"/>
      <c r="I80" s="22"/>
      <c r="J80" s="22"/>
      <c r="K80" s="13"/>
      <c r="L80" s="17">
        <f t="shared" ref="L80:Y80" si="116">L48</f>
        <v>-278.90800000000002</v>
      </c>
      <c r="M80" s="17">
        <f t="shared" si="116"/>
        <v>-292.68700000000001</v>
      </c>
      <c r="N80" s="17">
        <f t="shared" si="116"/>
        <v>-278.19200000000001</v>
      </c>
      <c r="O80" s="17">
        <f t="shared" si="116"/>
        <v>-278.798</v>
      </c>
      <c r="P80" s="17">
        <f t="shared" si="116"/>
        <v>-279.85699999999997</v>
      </c>
      <c r="Q80" s="17">
        <f t="shared" si="116"/>
        <v>-282.22299999999996</v>
      </c>
      <c r="R80" s="17">
        <f t="shared" si="116"/>
        <v>-280.54899999999998</v>
      </c>
      <c r="S80" s="17">
        <f t="shared" si="116"/>
        <v>-285.935</v>
      </c>
      <c r="T80" s="17">
        <f t="shared" si="116"/>
        <v>-295.12599999999998</v>
      </c>
      <c r="U80" s="17">
        <f t="shared" si="116"/>
        <v>-298.42499999999995</v>
      </c>
      <c r="V80" s="17">
        <f t="shared" si="116"/>
        <v>-292.428</v>
      </c>
      <c r="W80" s="17">
        <f t="shared" si="116"/>
        <v>-321.94200000000001</v>
      </c>
      <c r="X80" s="17">
        <f t="shared" si="116"/>
        <v>-318.92399999999998</v>
      </c>
      <c r="Y80" s="17">
        <f t="shared" si="116"/>
        <v>-320.25699999999995</v>
      </c>
    </row>
    <row r="81" spans="4:25" s="7" customFormat="1" ht="14.1" customHeight="1" x14ac:dyDescent="0.25">
      <c r="D81" s="66" t="s">
        <v>171</v>
      </c>
      <c r="E81" s="26"/>
      <c r="F81" s="13"/>
      <c r="G81" s="22" t="s">
        <v>142</v>
      </c>
      <c r="H81" s="22"/>
      <c r="I81" s="22"/>
      <c r="J81" s="22"/>
      <c r="K81" s="13"/>
      <c r="L81" s="17">
        <f t="shared" ref="L81:Y81" si="117">+L33</f>
        <v>-20.100000000000001</v>
      </c>
      <c r="M81" s="17">
        <f t="shared" si="117"/>
        <v>-22.9</v>
      </c>
      <c r="N81" s="17">
        <f t="shared" si="117"/>
        <v>-24.3</v>
      </c>
      <c r="O81" s="17">
        <f t="shared" si="117"/>
        <v>-26.8</v>
      </c>
      <c r="P81" s="17">
        <f t="shared" si="117"/>
        <v>-28.7</v>
      </c>
      <c r="Q81" s="17">
        <f t="shared" si="117"/>
        <v>-28.8</v>
      </c>
      <c r="R81" s="17">
        <f t="shared" si="117"/>
        <v>-28.8</v>
      </c>
      <c r="S81" s="17">
        <f t="shared" si="117"/>
        <v>-31.5</v>
      </c>
      <c r="T81" s="17">
        <f t="shared" si="117"/>
        <v>-34.5</v>
      </c>
      <c r="U81" s="17">
        <f t="shared" si="117"/>
        <v>-37.5</v>
      </c>
      <c r="V81" s="17">
        <f t="shared" si="117"/>
        <v>-37.1</v>
      </c>
      <c r="W81" s="17">
        <f t="shared" si="117"/>
        <v>-45.9</v>
      </c>
      <c r="X81" s="17">
        <f t="shared" si="117"/>
        <v>-47.6</v>
      </c>
      <c r="Y81" s="17">
        <f t="shared" si="117"/>
        <v>-48.3</v>
      </c>
    </row>
    <row r="82" spans="4:25" s="7" customFormat="1" ht="14.1" customHeight="1" x14ac:dyDescent="0.25">
      <c r="D82" s="66" t="s">
        <v>15</v>
      </c>
      <c r="E82" s="26"/>
      <c r="F82" s="13"/>
      <c r="G82" s="22" t="s">
        <v>142</v>
      </c>
      <c r="H82" s="22"/>
      <c r="I82" s="22"/>
      <c r="J82" s="22"/>
      <c r="K82" s="13"/>
      <c r="L82" s="17">
        <f t="shared" ref="L82:Y82" si="118">+L53</f>
        <v>0.67</v>
      </c>
      <c r="M82" s="17">
        <f t="shared" si="118"/>
        <v>0.26</v>
      </c>
      <c r="N82" s="17">
        <f t="shared" si="118"/>
        <v>1.623</v>
      </c>
      <c r="O82" s="17">
        <f t="shared" si="118"/>
        <v>-0.129</v>
      </c>
      <c r="P82" s="17">
        <f t="shared" si="118"/>
        <v>4.5339999999999998</v>
      </c>
      <c r="Q82" s="17">
        <f t="shared" si="118"/>
        <v>0.44600000000000001</v>
      </c>
      <c r="R82" s="17">
        <f t="shared" si="118"/>
        <v>2.4409999999999998</v>
      </c>
      <c r="S82" s="17">
        <f t="shared" si="118"/>
        <v>-1.1120000000000001</v>
      </c>
      <c r="T82" s="17">
        <f t="shared" si="118"/>
        <v>4.1340000000000003</v>
      </c>
      <c r="U82" s="17">
        <f t="shared" si="118"/>
        <v>4.8730000000000002</v>
      </c>
      <c r="V82" s="17">
        <f t="shared" si="118"/>
        <v>5.0519999999999996</v>
      </c>
      <c r="W82" s="17">
        <f t="shared" si="118"/>
        <v>5.5359999999999996</v>
      </c>
      <c r="X82" s="17">
        <f t="shared" si="118"/>
        <v>6.2080000000000002</v>
      </c>
      <c r="Y82" s="17">
        <f t="shared" si="118"/>
        <v>5.1459999999999999</v>
      </c>
    </row>
    <row r="83" spans="4:25" s="7" customFormat="1" ht="14.1" customHeight="1" x14ac:dyDescent="0.25">
      <c r="D83" s="66" t="s">
        <v>156</v>
      </c>
      <c r="E83" s="26"/>
      <c r="F83" s="13"/>
      <c r="G83" s="22" t="s">
        <v>142</v>
      </c>
      <c r="H83" s="22"/>
      <c r="I83" s="22"/>
      <c r="J83" s="22"/>
      <c r="K83" s="13"/>
      <c r="L83" s="17">
        <f t="shared" ref="L83:Y83" si="119">+L54</f>
        <v>-1.6</v>
      </c>
      <c r="M83" s="17">
        <f t="shared" si="119"/>
        <v>-1.1000000000000001</v>
      </c>
      <c r="N83" s="17">
        <f t="shared" si="119"/>
        <v>-1.5</v>
      </c>
      <c r="O83" s="17">
        <f t="shared" si="119"/>
        <v>-4.3</v>
      </c>
      <c r="P83" s="17">
        <f t="shared" si="119"/>
        <v>-4.5999999999999996</v>
      </c>
      <c r="Q83" s="17">
        <f t="shared" si="119"/>
        <v>-4.8</v>
      </c>
      <c r="R83" s="17">
        <f t="shared" si="119"/>
        <v>-2.8</v>
      </c>
      <c r="S83" s="17">
        <f t="shared" si="119"/>
        <v>-5.0999999999999996</v>
      </c>
      <c r="T83" s="17">
        <f t="shared" si="119"/>
        <v>-4.5999999999999996</v>
      </c>
      <c r="U83" s="17">
        <f t="shared" si="119"/>
        <v>-4.8</v>
      </c>
      <c r="V83" s="17">
        <f t="shared" si="119"/>
        <v>-3.1</v>
      </c>
      <c r="W83" s="17">
        <f t="shared" si="119"/>
        <v>-4.2</v>
      </c>
      <c r="X83" s="17">
        <f t="shared" si="119"/>
        <v>-1.5</v>
      </c>
      <c r="Y83" s="17">
        <f t="shared" si="119"/>
        <v>-1.4</v>
      </c>
    </row>
    <row r="84" spans="4:25" s="7" customFormat="1" ht="14.1" customHeight="1" x14ac:dyDescent="0.25">
      <c r="D84" s="66" t="s">
        <v>177</v>
      </c>
      <c r="E84" s="26"/>
      <c r="F84" s="13"/>
      <c r="G84" s="22" t="s">
        <v>142</v>
      </c>
      <c r="H84" s="22"/>
      <c r="I84" s="22"/>
      <c r="J84" s="22"/>
      <c r="K84" s="13"/>
      <c r="L84" s="44">
        <v>-18.8</v>
      </c>
      <c r="M84" s="44">
        <v>-40.700000000000003</v>
      </c>
      <c r="N84" s="44">
        <v>-32.9</v>
      </c>
      <c r="O84" s="44">
        <v>-62.2</v>
      </c>
      <c r="P84" s="44">
        <v>-25.8</v>
      </c>
      <c r="Q84" s="44">
        <v>-39.1</v>
      </c>
      <c r="R84" s="44">
        <v>-34.700000000000003</v>
      </c>
      <c r="S84" s="44">
        <v>-56.3</v>
      </c>
      <c r="T84" s="44">
        <v>-33.1</v>
      </c>
      <c r="U84" s="44">
        <v>-36.6</v>
      </c>
      <c r="V84" s="44">
        <v>-33.5</v>
      </c>
      <c r="W84" s="44">
        <v>-64.400000000000006</v>
      </c>
      <c r="X84" s="44">
        <v>-42.7</v>
      </c>
      <c r="Y84" s="44">
        <v>-43.5</v>
      </c>
    </row>
    <row r="85" spans="4:25" s="7" customFormat="1" ht="14.1" customHeight="1" x14ac:dyDescent="0.25">
      <c r="D85" s="66" t="s">
        <v>440</v>
      </c>
      <c r="E85" s="26"/>
      <c r="F85" s="13"/>
      <c r="G85" s="22" t="s">
        <v>142</v>
      </c>
      <c r="H85" s="22"/>
      <c r="I85" s="22"/>
      <c r="J85" s="22"/>
      <c r="K85" s="13"/>
      <c r="L85" s="44">
        <v>-12.18</v>
      </c>
      <c r="M85" s="44">
        <v>-12.359</v>
      </c>
      <c r="N85" s="44">
        <v>-12.154999999999999</v>
      </c>
      <c r="O85" s="44">
        <v>-12.46</v>
      </c>
      <c r="P85" s="44">
        <v>-13.353999999999999</v>
      </c>
      <c r="Q85" s="44">
        <v>-13.385999999999999</v>
      </c>
      <c r="R85" s="44">
        <v>-13.535</v>
      </c>
      <c r="S85" s="44">
        <v>-14.148</v>
      </c>
      <c r="T85" s="44">
        <v>-14.996</v>
      </c>
      <c r="U85" s="44">
        <v>-16.457000000000001</v>
      </c>
      <c r="V85" s="44">
        <v>-14.026</v>
      </c>
      <c r="W85" s="44">
        <v>-15.471</v>
      </c>
      <c r="X85" s="44">
        <v>-16.257999999999999</v>
      </c>
      <c r="Y85" s="44">
        <v>-16.498999999999999</v>
      </c>
    </row>
    <row r="86" spans="4:25" s="7" customFormat="1" ht="14.1" customHeight="1" thickBot="1" x14ac:dyDescent="0.3">
      <c r="D86" s="28" t="s">
        <v>441</v>
      </c>
      <c r="E86" s="30"/>
      <c r="F86" s="28"/>
      <c r="G86" s="58" t="s">
        <v>142</v>
      </c>
      <c r="H86" s="58"/>
      <c r="I86" s="58"/>
      <c r="J86" s="58"/>
      <c r="K86" s="28"/>
      <c r="L86" s="272">
        <f>+'Quarterly CF'!D21/1000</f>
        <v>-39.455074147714242</v>
      </c>
      <c r="M86" s="272">
        <f>+'Quarterly CF'!E21/1000</f>
        <v>-55.634832904396752</v>
      </c>
      <c r="N86" s="272">
        <f>+'Quarterly CF'!F21/1000</f>
        <v>-60.833980318988559</v>
      </c>
      <c r="O86" s="272">
        <f>+'Quarterly CF'!G21/1000</f>
        <v>17.479214216224499</v>
      </c>
      <c r="P86" s="272">
        <f>+'Quarterly CF'!H21/1000</f>
        <v>-76.931405568874879</v>
      </c>
      <c r="Q86" s="272">
        <f>+'Quarterly CF'!I21/1000</f>
        <v>28.095341616582736</v>
      </c>
      <c r="R86" s="272">
        <f>+'Quarterly CF'!J21/1000</f>
        <v>70.75812425261455</v>
      </c>
      <c r="S86" s="272">
        <f>+'Quarterly CF'!K21/1000</f>
        <v>64.390371907150936</v>
      </c>
      <c r="T86" s="272">
        <f>+'Quarterly CF'!L21/1000</f>
        <v>9.8108302207850873</v>
      </c>
      <c r="U86" s="272">
        <f>+'Quarterly CF'!M21/1000</f>
        <v>-51.419632771450466</v>
      </c>
      <c r="V86" s="272">
        <f>+'Quarterly CF'!N21/1000</f>
        <v>-35.74123621439125</v>
      </c>
      <c r="W86" s="272">
        <f>+'Quarterly CF'!O21/1000</f>
        <v>18.452162180511614</v>
      </c>
      <c r="X86" s="272">
        <f>+'Quarterly CF'!P21/1000</f>
        <v>-57.3665749269381</v>
      </c>
      <c r="Y86" s="272">
        <f>+'Quarterly CF'!Q21/1000</f>
        <v>-83.069023721817729</v>
      </c>
    </row>
    <row r="87" spans="4:25" s="7" customFormat="1" ht="14.1" customHeight="1" thickBot="1" x14ac:dyDescent="0.3">
      <c r="D87" s="88" t="s">
        <v>179</v>
      </c>
      <c r="E87" s="89"/>
      <c r="F87" s="90"/>
      <c r="G87" s="91" t="s">
        <v>142</v>
      </c>
      <c r="H87" s="91"/>
      <c r="I87" s="91"/>
      <c r="J87" s="91"/>
      <c r="K87" s="90"/>
      <c r="L87" s="92">
        <f t="shared" ref="L87:W87" si="120">L77+L80+L81+L84+L86+L85+L82+L83</f>
        <v>38.621925852285756</v>
      </c>
      <c r="M87" s="92">
        <f t="shared" si="120"/>
        <v>-4.7638329043967449</v>
      </c>
      <c r="N87" s="92">
        <f t="shared" si="120"/>
        <v>22.19501968101142</v>
      </c>
      <c r="O87" s="92">
        <f t="shared" si="120"/>
        <v>67.378214216224478</v>
      </c>
      <c r="P87" s="92">
        <f t="shared" si="120"/>
        <v>32.636594431125189</v>
      </c>
      <c r="Q87" s="92">
        <f t="shared" si="120"/>
        <v>125.43034161658277</v>
      </c>
      <c r="R87" s="92">
        <f t="shared" si="120"/>
        <v>191.40612425261457</v>
      </c>
      <c r="S87" s="92">
        <f t="shared" si="120"/>
        <v>154.44637190715096</v>
      </c>
      <c r="T87" s="92">
        <f t="shared" si="120"/>
        <v>150.33283022078516</v>
      </c>
      <c r="U87" s="92">
        <f t="shared" si="120"/>
        <v>90.369367228549578</v>
      </c>
      <c r="V87" s="92">
        <f t="shared" si="120"/>
        <v>132.51676378560876</v>
      </c>
      <c r="W87" s="92">
        <f t="shared" si="120"/>
        <v>121.17916218051163</v>
      </c>
      <c r="X87" s="92">
        <f t="shared" ref="X87:Y87" si="121">X77+X80+X81+X84+X86+X85+X82+X83</f>
        <v>105.66242507306191</v>
      </c>
      <c r="Y87" s="92">
        <f t="shared" si="121"/>
        <v>87.471976278182311</v>
      </c>
    </row>
    <row r="88" spans="4:25" s="7" customFormat="1" ht="14.1" customHeight="1" thickBot="1" x14ac:dyDescent="0.3">
      <c r="D88" s="7" t="s">
        <v>105</v>
      </c>
      <c r="E88" s="32"/>
      <c r="G88" s="41" t="s">
        <v>142</v>
      </c>
      <c r="H88" s="41"/>
      <c r="I88" s="41"/>
      <c r="J88" s="41"/>
      <c r="L88" s="273">
        <f>+'Quarterly CF'!D12/1000</f>
        <v>-4.0044823891490058</v>
      </c>
      <c r="M88" s="273">
        <f>+'Quarterly CF'!E12/1000</f>
        <v>-18.969851582284022</v>
      </c>
      <c r="N88" s="273">
        <f>+'Quarterly CF'!F12/1000</f>
        <v>-4.5336099834881356</v>
      </c>
      <c r="O88" s="273">
        <f>+'Quarterly CF'!G12/1000</f>
        <v>-49.625056045078836</v>
      </c>
      <c r="P88" s="273">
        <f>+'Quarterly CF'!H12/1000</f>
        <v>-5.0133088985445573</v>
      </c>
      <c r="Q88" s="273">
        <f>+'Quarterly CF'!I12/1000</f>
        <v>-19.720945625648849</v>
      </c>
      <c r="R88" s="273">
        <f>+'Quarterly CF'!J12/1000</f>
        <v>-20.762667858823093</v>
      </c>
      <c r="S88" s="273">
        <f>+'Quarterly CF'!K12/1000</f>
        <v>-45.742077616983501</v>
      </c>
      <c r="T88" s="273">
        <f>+'Quarterly CF'!L12/1000</f>
        <v>-5.1906766075985784</v>
      </c>
      <c r="U88" s="273">
        <f>+'Quarterly CF'!M12/1000</f>
        <v>-26.147059503870931</v>
      </c>
      <c r="V88" s="273">
        <f>+'Quarterly CF'!N12/1000</f>
        <v>-15.903354368745935</v>
      </c>
      <c r="W88" s="273">
        <f>+'Quarterly CF'!O12/1000</f>
        <v>-67.393909519784557</v>
      </c>
      <c r="X88" s="273">
        <f>+'Quarterly CF'!P12/1000</f>
        <v>-18.078548270464164</v>
      </c>
      <c r="Y88" s="273">
        <f>+'Quarterly CF'!Q12/1000</f>
        <v>-26.848991232902463</v>
      </c>
    </row>
    <row r="89" spans="4:25" s="7" customFormat="1" ht="14.1" customHeight="1" thickBot="1" x14ac:dyDescent="0.3">
      <c r="D89" s="88" t="s">
        <v>180</v>
      </c>
      <c r="E89" s="89"/>
      <c r="F89" s="90"/>
      <c r="G89" s="91" t="s">
        <v>142</v>
      </c>
      <c r="H89" s="91"/>
      <c r="I89" s="91"/>
      <c r="J89" s="91"/>
      <c r="K89" s="90"/>
      <c r="L89" s="92">
        <f>+SUM(L87:L88)</f>
        <v>34.617443463136752</v>
      </c>
      <c r="M89" s="92">
        <f>+SUM(M87:M88)</f>
        <v>-23.733684486680765</v>
      </c>
      <c r="N89" s="92">
        <f t="shared" ref="N89:T89" si="122">+SUM(N87:N88)</f>
        <v>17.661409697523283</v>
      </c>
      <c r="O89" s="92">
        <f t="shared" si="122"/>
        <v>17.753158171145643</v>
      </c>
      <c r="P89" s="92">
        <f t="shared" si="122"/>
        <v>27.623285532580631</v>
      </c>
      <c r="Q89" s="92">
        <f t="shared" si="122"/>
        <v>105.70939599093391</v>
      </c>
      <c r="R89" s="92">
        <f t="shared" si="122"/>
        <v>170.6434563937915</v>
      </c>
      <c r="S89" s="92">
        <f t="shared" si="122"/>
        <v>108.70429429016747</v>
      </c>
      <c r="T89" s="92">
        <f t="shared" si="122"/>
        <v>145.14215361318657</v>
      </c>
      <c r="U89" s="92">
        <f t="shared" ref="U89:W89" si="123">+SUM(U87:U88)</f>
        <v>64.222307724678643</v>
      </c>
      <c r="V89" s="92">
        <f t="shared" si="123"/>
        <v>116.61340941686282</v>
      </c>
      <c r="W89" s="92">
        <f t="shared" si="123"/>
        <v>53.785252660727068</v>
      </c>
      <c r="X89" s="92">
        <f t="shared" ref="X89:Y89" si="124">+SUM(X87:X88)</f>
        <v>87.583876802597743</v>
      </c>
      <c r="Y89" s="92">
        <f t="shared" si="124"/>
        <v>60.622985045279847</v>
      </c>
    </row>
    <row r="90" spans="4:25" s="7" customFormat="1" ht="14.1" customHeight="1" x14ac:dyDescent="0.25">
      <c r="D90" s="12" t="s">
        <v>192</v>
      </c>
      <c r="E90" s="87"/>
      <c r="F90" s="12"/>
      <c r="G90" s="39" t="s">
        <v>142</v>
      </c>
      <c r="H90" s="39"/>
      <c r="I90" s="39"/>
      <c r="J90" s="39"/>
      <c r="K90" s="12"/>
      <c r="L90" s="274">
        <f>('Quarterly CF'!D40)/10^3</f>
        <v>-86.526155056502077</v>
      </c>
      <c r="M90" s="274">
        <f>('Quarterly CF'!E40)/10^3</f>
        <v>-56.587725949890064</v>
      </c>
      <c r="N90" s="274">
        <f>('Quarterly CF'!F40)/10^3</f>
        <v>-94.177562416215849</v>
      </c>
      <c r="O90" s="274">
        <f>('Quarterly CF'!G40)/10^3</f>
        <v>-66.571556577392016</v>
      </c>
      <c r="P90" s="274">
        <f>('Quarterly CF'!H40)/10^3</f>
        <v>-124.63225143902633</v>
      </c>
      <c r="Q90" s="274">
        <f>('Quarterly CF'!I40)/10^3</f>
        <v>-84.800748368531984</v>
      </c>
      <c r="R90" s="274">
        <f>('Quarterly CF'!J40)/10^3</f>
        <v>-147.78087573424204</v>
      </c>
      <c r="S90" s="274">
        <f>('Quarterly CF'!K40)/10^3</f>
        <v>-94.692124458199629</v>
      </c>
      <c r="T90" s="274">
        <f>('Quarterly CF'!L40)/10^3</f>
        <v>-145.98117514453628</v>
      </c>
      <c r="U90" s="274">
        <f>('Quarterly CF'!M40)/10^3</f>
        <v>-93.99739680635949</v>
      </c>
      <c r="V90" s="274">
        <f>('Quarterly CF'!N40)/10^3</f>
        <v>-139.3012165263045</v>
      </c>
      <c r="W90" s="274">
        <f>('Quarterly CF'!O40)/10^3</f>
        <v>-85.554211522799747</v>
      </c>
      <c r="X90" s="274">
        <f>('Quarterly CF'!P40)/10^3</f>
        <v>-132.98645104639635</v>
      </c>
      <c r="Y90" s="274">
        <f>('Quarterly CF'!Q40)/10^3</f>
        <v>-79.9987026442559</v>
      </c>
    </row>
    <row r="91" spans="4:25" s="7" customFormat="1" ht="14.1" customHeight="1" x14ac:dyDescent="0.25">
      <c r="D91" s="13" t="s">
        <v>183</v>
      </c>
      <c r="E91" s="24"/>
      <c r="G91" s="39" t="s">
        <v>142</v>
      </c>
      <c r="H91" s="41"/>
      <c r="I91" s="41"/>
      <c r="J91" s="41"/>
      <c r="L91" s="274">
        <f>('Quarterly CF'!D41+'Quarterly CF'!D42+'Quarterly CF'!D44+'Quarterly CF'!D48)/10^3</f>
        <v>-4.46507792490294</v>
      </c>
      <c r="M91" s="274">
        <f>('Quarterly CF'!E41+'Quarterly CF'!E42+'Quarterly CF'!E44+'Quarterly CF'!E48)/10^3</f>
        <v>-4.9676069806786636</v>
      </c>
      <c r="N91" s="274">
        <f>('Quarterly CF'!F41+'Quarterly CF'!F42+'Quarterly CF'!F44+'Quarterly CF'!F48)/10^3</f>
        <v>0.99223443611270745</v>
      </c>
      <c r="O91" s="274">
        <f>('Quarterly CF'!G41+'Quarterly CF'!G42+'Quarterly CF'!G44+'Quarterly CF'!G48)/10^3</f>
        <v>-9.043549530531104</v>
      </c>
      <c r="P91" s="274">
        <f>('Quarterly CF'!H41+'Quarterly CF'!H42+'Quarterly CF'!H44+'Quarterly CF'!H48)/10^3</f>
        <v>-15.911862553299711</v>
      </c>
      <c r="Q91" s="274">
        <f>('Quarterly CF'!I41+'Quarterly CF'!I42+'Quarterly CF'!I44+'Quarterly CF'!I48)/10^3</f>
        <v>-4.4441957005609281</v>
      </c>
      <c r="R91" s="274">
        <f>('Quarterly CF'!J41+'Quarterly CF'!J42+'Quarterly CF'!J44+'Quarterly CF'!J48)/10^3</f>
        <v>-3.9414491446914326</v>
      </c>
      <c r="S91" s="274">
        <f>('Quarterly CF'!K41+'Quarterly CF'!K42+'Quarterly CF'!K44+'Quarterly CF'!K48)/10^3</f>
        <v>-2.9704926014479263</v>
      </c>
      <c r="T91" s="274">
        <f>('Quarterly CF'!L41+'Quarterly CF'!L42+'Quarterly CF'!L44+'Quarterly CF'!L48)/10^3</f>
        <v>-0.85453795372996233</v>
      </c>
      <c r="U91" s="274">
        <f>('Quarterly CF'!M41+'Quarterly CF'!M42+'Quarterly CF'!M44+'Quarterly CF'!M48)/10^3</f>
        <v>-8.7267669572334157</v>
      </c>
      <c r="V91" s="274">
        <f>('Quarterly CF'!N41+'Quarterly CF'!N42+'Quarterly CF'!N44+'Quarterly CF'!N48)/10^3</f>
        <v>0.69520889228026139</v>
      </c>
      <c r="W91" s="274">
        <f>('Quarterly CF'!O41+'Quarterly CF'!O42+'Quarterly CF'!O44+'Quarterly CF'!O48)/10^3</f>
        <v>-4.0179039813168824</v>
      </c>
      <c r="X91" s="274">
        <f>('Quarterly CF'!P41+'Quarterly CF'!P42+'Quarterly CF'!P44+'Quarterly CF'!P48)/10^3</f>
        <v>-1.9578695534263739</v>
      </c>
      <c r="Y91" s="274">
        <f>('Quarterly CF'!Q41+'Quarterly CF'!Q42+'Quarterly CF'!Q44+'Quarterly CF'!Q48)/10^3</f>
        <v>-2.9270471658757899</v>
      </c>
    </row>
    <row r="92" spans="4:25" ht="14.1" customHeight="1" x14ac:dyDescent="0.2">
      <c r="D92" s="109" t="s">
        <v>442</v>
      </c>
      <c r="E92" s="110"/>
      <c r="F92" s="109"/>
      <c r="G92" s="111" t="s">
        <v>142</v>
      </c>
      <c r="H92" s="229"/>
      <c r="I92" s="229"/>
      <c r="J92" s="229"/>
      <c r="K92" s="109"/>
      <c r="L92" s="276">
        <f>+('Quarterly CF'!D36+'Quarterly CF'!D37+'Quarterly CF'!D38+'Quarterly CF'!D39+'Quarterly CF'!D43+'Quarterly CF'!D45+'Quarterly CF'!D47+'Quarterly CF'!D49)/1000-L85</f>
        <v>60.949220403805086</v>
      </c>
      <c r="M92" s="276">
        <f>+('Quarterly CF'!E36+'Quarterly CF'!E37+'Quarterly CF'!E38+'Quarterly CF'!E39+'Quarterly CF'!E43+'Quarterly CF'!E45+'Quarterly CF'!E47+'Quarterly CF'!E49)/1000-M85</f>
        <v>114.53713493303503</v>
      </c>
      <c r="N92" s="276">
        <f>+('Quarterly CF'!F36+'Quarterly CF'!F37+'Quarterly CF'!F38+'Quarterly CF'!F39+'Quarterly CF'!F43+'Quarterly CF'!F45+'Quarterly CF'!F47+'Quarterly CF'!F49)/1000-N85</f>
        <v>58.936202517841679</v>
      </c>
      <c r="O92" s="276">
        <f>+('Quarterly CF'!G36+'Quarterly CF'!G37+'Quarterly CF'!G38+'Quarterly CF'!G39+'Quarterly CF'!G43+'Quarterly CF'!G45+'Quarterly CF'!G47+'Quarterly CF'!G49)/1000-O85</f>
        <v>95.849115300193205</v>
      </c>
      <c r="P92" s="276">
        <f>+('Quarterly CF'!H36+'Quarterly CF'!H37+'Quarterly CF'!H38+'Quarterly CF'!H39+'Quarterly CF'!H43+'Quarterly CF'!H45+'Quarterly CF'!H47+'Quarterly CF'!H49)/1000-P85</f>
        <v>113.24310661220807</v>
      </c>
      <c r="Q92" s="276">
        <f>+('Quarterly CF'!I36+'Quarterly CF'!I37+'Quarterly CF'!I38+'Quarterly CF'!I39+'Quarterly CF'!I43+'Quarterly CF'!I45+'Quarterly CF'!I47+'Quarterly CF'!I49)/1000-Q85</f>
        <v>-13.74545419613569</v>
      </c>
      <c r="R92" s="276">
        <f>+('Quarterly CF'!J36+'Quarterly CF'!J37+'Quarterly CF'!J38+'Quarterly CF'!J39+'Quarterly CF'!J43+'Quarterly CF'!J45+'Quarterly CF'!J47+'Quarterly CF'!J49)/1000-R85</f>
        <v>-15.906642161562282</v>
      </c>
      <c r="S92" s="276">
        <f>+('Quarterly CF'!K36+'Quarterly CF'!K37+'Quarterly CF'!K38+'Quarterly CF'!K39+'Quarterly CF'!K43+'Quarterly CF'!K45+'Quarterly CF'!K47+'Quarterly CF'!K49)/1000-S85</f>
        <v>28.324989745489901</v>
      </c>
      <c r="T92" s="276">
        <f>+('Quarterly CF'!L36+'Quarterly CF'!L37+'Quarterly CF'!L38+'Quarterly CF'!L39+'Quarterly CF'!L43+'Quarterly CF'!L45+'Quarterly CF'!L47+'Quarterly CF'!L49)/1000-T85</f>
        <v>31.48031306684522</v>
      </c>
      <c r="U92" s="276">
        <f>+('Quarterly CF'!M36+'Quarterly CF'!M37+'Quarterly CF'!M38+'Quarterly CF'!M39+'Quarterly CF'!M43+'Quarterly CF'!M45+'Quarterly CF'!M47+'Quarterly CF'!M49)/1000-U85</f>
        <v>31.626919915250852</v>
      </c>
      <c r="V92" s="276">
        <f>+('Quarterly CF'!N36+'Quarterly CF'!N37+'Quarterly CF'!N38+'Quarterly CF'!N39+'Quarterly CF'!N43+'Quarterly CF'!N45+'Quarterly CF'!N47+'Quarterly CF'!N49)/1000-V85</f>
        <v>19.625621884031542</v>
      </c>
      <c r="W92" s="276">
        <f>+('Quarterly CF'!O36+'Quarterly CF'!O37+'Quarterly CF'!O38+'Quarterly CF'!O39+'Quarterly CF'!O43+'Quarterly CF'!O45+'Quarterly CF'!O47+'Quarterly CF'!O49)/1000-W85</f>
        <v>54.058145133872344</v>
      </c>
      <c r="X92" s="276">
        <f>+('Quarterly CF'!P36+'Quarterly CF'!P37+'Quarterly CF'!P38+'Quarterly CF'!P39+'Quarterly CF'!P43+'Quarterly CF'!P45+'Quarterly CF'!P47+'Quarterly CF'!P49)/1000-X85</f>
        <v>55.195999999999998</v>
      </c>
      <c r="Y92" s="276">
        <f>+('Quarterly CF'!Q36+'Quarterly CF'!Q37+'Quarterly CF'!Q38+'Quarterly CF'!Q39+'Quarterly CF'!Q43+'Quarterly CF'!Q45+'Quarterly CF'!Q47+'Quarterly CF'!Q49)/1000-Y85</f>
        <v>35.500999999999998</v>
      </c>
    </row>
    <row r="93" spans="4:25" s="7" customFormat="1" ht="14.1" customHeight="1" x14ac:dyDescent="0.25">
      <c r="D93" s="28" t="s">
        <v>193</v>
      </c>
      <c r="E93" s="79"/>
      <c r="F93" s="28"/>
      <c r="G93" s="22" t="s">
        <v>142</v>
      </c>
      <c r="H93" s="58"/>
      <c r="I93" s="58"/>
      <c r="J93" s="58"/>
      <c r="K93" s="28"/>
      <c r="L93" s="272">
        <f>+'Quarterly CF'!D46/1000</f>
        <v>0</v>
      </c>
      <c r="M93" s="272">
        <f>+'Quarterly CF'!E46/1000</f>
        <v>0</v>
      </c>
      <c r="N93" s="272">
        <f>+'Quarterly CF'!F46/1000</f>
        <v>0</v>
      </c>
      <c r="O93" s="272">
        <f>+'Quarterly CF'!G46/1000</f>
        <v>0</v>
      </c>
      <c r="P93" s="272">
        <f>+'Quarterly CF'!H46/1000</f>
        <v>0</v>
      </c>
      <c r="Q93" s="272">
        <f>+'Quarterly CF'!I46/1000</f>
        <v>0</v>
      </c>
      <c r="R93" s="272">
        <f>+'Quarterly CF'!J46/1000</f>
        <v>0</v>
      </c>
      <c r="S93" s="272">
        <f>+'Quarterly CF'!K46/1000</f>
        <v>0</v>
      </c>
      <c r="T93" s="272">
        <f>+'Quarterly CF'!L46/1000</f>
        <v>0</v>
      </c>
      <c r="U93" s="272">
        <f>+'Quarterly CF'!M46/1000</f>
        <v>0</v>
      </c>
      <c r="V93" s="272">
        <f>+'Quarterly CF'!N46/1000</f>
        <v>0</v>
      </c>
      <c r="W93" s="272">
        <f>+'Quarterly CF'!O46/1000</f>
        <v>0</v>
      </c>
      <c r="X93" s="272">
        <f>+'Quarterly CF'!P46/1000</f>
        <v>0</v>
      </c>
      <c r="Y93" s="272">
        <f>+'Quarterly CF'!Q46/1000</f>
        <v>0</v>
      </c>
    </row>
    <row r="94" spans="4:25" s="7" customFormat="1" ht="14.1" customHeight="1" x14ac:dyDescent="0.25">
      <c r="D94" s="28" t="s">
        <v>241</v>
      </c>
      <c r="E94" s="79"/>
      <c r="F94" s="28"/>
      <c r="G94" s="22" t="s">
        <v>142</v>
      </c>
      <c r="H94" s="58"/>
      <c r="I94" s="58"/>
      <c r="J94" s="58"/>
      <c r="K94" s="28"/>
      <c r="L94" s="272">
        <f>+SUM('Quarterly CF'!D28:D32)/1000</f>
        <v>0</v>
      </c>
      <c r="M94" s="272">
        <f>+SUM('Quarterly CF'!E28:E32)/1000</f>
        <v>0</v>
      </c>
      <c r="N94" s="272">
        <f>+SUM('Quarterly CF'!F28:F32)/1000</f>
        <v>0</v>
      </c>
      <c r="O94" s="272">
        <f>+SUM('Quarterly CF'!G28:G32)/1000</f>
        <v>0</v>
      </c>
      <c r="P94" s="272">
        <f>+SUM('Quarterly CF'!H28:H32)/1000</f>
        <v>0</v>
      </c>
      <c r="Q94" s="272">
        <f>+SUM('Quarterly CF'!I28:I32)/1000</f>
        <v>0</v>
      </c>
      <c r="R94" s="272">
        <f>+SUM('Quarterly CF'!J28:J32)/1000</f>
        <v>0</v>
      </c>
      <c r="S94" s="272">
        <f>+SUM('Quarterly CF'!K28:K32)/1000</f>
        <v>0</v>
      </c>
      <c r="T94" s="272">
        <f>+SUM('Quarterly CF'!L28:L32)/1000</f>
        <v>0</v>
      </c>
      <c r="U94" s="272">
        <f>+SUM('Quarterly CF'!M28:M32)/1000</f>
        <v>0</v>
      </c>
      <c r="V94" s="272">
        <f>+SUM('Quarterly CF'!N28:N32)/1000</f>
        <v>0</v>
      </c>
      <c r="W94" s="272">
        <f>+SUM('Quarterly CF'!O28:O32)/1000</f>
        <v>0</v>
      </c>
      <c r="X94" s="272">
        <f>+SUM('Quarterly CF'!P28:P32)/1000</f>
        <v>0</v>
      </c>
      <c r="Y94" s="272">
        <f>+SUM('Quarterly CF'!Q28:Q32)/1000</f>
        <v>0</v>
      </c>
    </row>
    <row r="95" spans="4:25" s="7" customFormat="1" ht="14.1" customHeight="1" x14ac:dyDescent="0.25">
      <c r="D95" s="76" t="s">
        <v>443</v>
      </c>
      <c r="E95" s="79"/>
      <c r="F95" s="28"/>
      <c r="G95" s="22" t="s">
        <v>142</v>
      </c>
      <c r="H95" s="58"/>
      <c r="I95" s="58"/>
      <c r="J95" s="58"/>
      <c r="K95" s="28"/>
      <c r="L95" s="272">
        <f>+'Quarterly IS'!D36</f>
        <v>-3.5129999999999999</v>
      </c>
      <c r="M95" s="272">
        <f>+'Quarterly IS'!E36</f>
        <v>-8.7499233316361256</v>
      </c>
      <c r="N95" s="272">
        <f>+'Quarterly IS'!F36</f>
        <v>-5.0396826179727441</v>
      </c>
      <c r="O95" s="272">
        <f>+'Quarterly IS'!G36</f>
        <v>-18.185560703042768</v>
      </c>
      <c r="P95" s="272">
        <f>+'Quarterly IS'!H36</f>
        <v>-5.0281632274880508</v>
      </c>
      <c r="Q95" s="272">
        <f>+'Quarterly IS'!I36</f>
        <v>-7.38601947772014</v>
      </c>
      <c r="R95" s="272">
        <f>+'Quarterly IS'!J36</f>
        <v>-10.656883502456139</v>
      </c>
      <c r="S95" s="272">
        <f>+'Quarterly IS'!K36</f>
        <v>-19.386069528333167</v>
      </c>
      <c r="T95" s="272">
        <f>+'Quarterly IS'!L36</f>
        <v>-5.8011668808727563</v>
      </c>
      <c r="U95" s="272">
        <f>+'Quarterly IS'!M36</f>
        <v>-7.4688861621243632</v>
      </c>
      <c r="V95" s="272">
        <f>+'Quarterly IS'!N36</f>
        <v>-7.8195454457176652</v>
      </c>
      <c r="W95" s="272">
        <f>+'Quarterly IS'!O36</f>
        <v>-11.059886030679309</v>
      </c>
      <c r="X95" s="272">
        <f>+'Quarterly IS'!P36</f>
        <v>-9.0176634433478853</v>
      </c>
      <c r="Y95" s="272">
        <f>+'Quarterly IS'!Q36</f>
        <v>-17.852229603017857</v>
      </c>
    </row>
    <row r="96" spans="4:25" s="7" customFormat="1" ht="14.1" customHeight="1" thickBot="1" x14ac:dyDescent="0.3">
      <c r="D96" s="80" t="s">
        <v>195</v>
      </c>
      <c r="E96" s="79"/>
      <c r="F96" s="28"/>
      <c r="G96" s="58" t="s">
        <v>142</v>
      </c>
      <c r="H96" s="58"/>
      <c r="I96" s="58"/>
      <c r="J96" s="58"/>
      <c r="K96" s="28"/>
      <c r="L96" s="81">
        <f>L97-SUM(L89:L95)</f>
        <v>-0.3486246650425201</v>
      </c>
      <c r="M96" s="81">
        <f t="shared" ref="M96:V96" si="125">M97-SUM(M89:M95)</f>
        <v>-5.7861243090481906E-2</v>
      </c>
      <c r="N96" s="81">
        <f t="shared" si="125"/>
        <v>3.9442475552803558E-2</v>
      </c>
      <c r="O96" s="81">
        <f t="shared" si="125"/>
        <v>0.11521008523186538</v>
      </c>
      <c r="P96" s="81">
        <f t="shared" si="125"/>
        <v>-0.21914134527752971</v>
      </c>
      <c r="Q96" s="81">
        <f t="shared" si="125"/>
        <v>0.10177218536277355</v>
      </c>
      <c r="R96" s="81">
        <f t="shared" si="125"/>
        <v>5.3130756687433944E-3</v>
      </c>
      <c r="S96" s="81">
        <f t="shared" si="125"/>
        <v>-24.015808179756672</v>
      </c>
      <c r="T96" s="81">
        <f t="shared" si="125"/>
        <v>3.4318337165156976E-2</v>
      </c>
      <c r="U96" s="81">
        <f t="shared" si="125"/>
        <v>0.80087041778523727</v>
      </c>
      <c r="V96" s="81">
        <f t="shared" si="125"/>
        <v>0.42906410501942105</v>
      </c>
      <c r="W96" s="81">
        <f t="shared" ref="W96:X96" si="126">W97-SUM(W89:W95)</f>
        <v>1.9042316594241839</v>
      </c>
      <c r="X96" s="81">
        <f t="shared" si="126"/>
        <v>3.583831716251562E-2</v>
      </c>
      <c r="Y96" s="81">
        <f t="shared" ref="Y96" si="127">Y97-SUM(Y89:Y95)</f>
        <v>-0.99330915819447352</v>
      </c>
    </row>
    <row r="97" spans="3:25" s="7" customFormat="1" ht="14.1" customHeight="1" thickBot="1" x14ac:dyDescent="0.3">
      <c r="D97" s="90" t="s">
        <v>161</v>
      </c>
      <c r="E97" s="93"/>
      <c r="F97" s="90"/>
      <c r="G97" s="91" t="s">
        <v>142</v>
      </c>
      <c r="H97" s="91"/>
      <c r="I97" s="91"/>
      <c r="J97" s="91"/>
      <c r="K97" s="90"/>
      <c r="L97" s="275">
        <f>+'Quarterly CF'!D53/1000</f>
        <v>0.71380622049429798</v>
      </c>
      <c r="M97" s="275">
        <f>+'Quarterly CF'!E53/1000</f>
        <v>20.44033294105893</v>
      </c>
      <c r="N97" s="275">
        <f>+'Quarterly CF'!F53/1000</f>
        <v>-21.587955907158118</v>
      </c>
      <c r="O97" s="275">
        <f>+'Quarterly CF'!G53/1000</f>
        <v>19.916816745604827</v>
      </c>
      <c r="P97" s="275">
        <f>+'Quarterly CF'!H53/1000</f>
        <v>-4.9250264203029221</v>
      </c>
      <c r="Q97" s="275">
        <f>+'Quarterly CF'!I53/1000</f>
        <v>-4.5652495666520556</v>
      </c>
      <c r="R97" s="275">
        <f>+'Quarterly CF'!J53/1000</f>
        <v>-7.6370810734916592</v>
      </c>
      <c r="S97" s="275">
        <f>+'Quarterly CF'!K53/1000</f>
        <v>-4.0352107320800279</v>
      </c>
      <c r="T97" s="275">
        <f>+'Quarterly CF'!L53/1000</f>
        <v>24.019905038057942</v>
      </c>
      <c r="U97" s="275">
        <f>+'Quarterly CF'!M53/1000</f>
        <v>-13.542951868002536</v>
      </c>
      <c r="V97" s="275">
        <f>+'Quarterly CF'!N53/1000</f>
        <v>-9.7574576738281174</v>
      </c>
      <c r="W97" s="275">
        <f>+'Quarterly CF'!O53/1000</f>
        <v>9.1156279192276557</v>
      </c>
      <c r="X97" s="275">
        <f>+'Quarterly CF'!P53/1000</f>
        <v>-1.14626892341036</v>
      </c>
      <c r="Y97" s="275">
        <f>+'Quarterly CF'!Q53/1000</f>
        <v>-5.6473035260641771</v>
      </c>
    </row>
    <row r="98" spans="3:25" s="7" customFormat="1" ht="14.1" customHeight="1" x14ac:dyDescent="0.25">
      <c r="E98" s="32"/>
      <c r="G98" s="41"/>
      <c r="H98" s="41"/>
      <c r="I98" s="41"/>
      <c r="J98" s="41"/>
      <c r="X98" s="65"/>
      <c r="Y98" s="65"/>
    </row>
    <row r="99" spans="3:25" s="7" customFormat="1" ht="14.1" customHeight="1" x14ac:dyDescent="0.25">
      <c r="C99" s="47" t="s">
        <v>166</v>
      </c>
      <c r="E99" s="32"/>
      <c r="G99" s="41"/>
      <c r="H99" s="41"/>
      <c r="I99" s="41"/>
      <c r="J99" s="41"/>
    </row>
    <row r="100" spans="3:25" s="7" customFormat="1" ht="14.1" customHeight="1" x14ac:dyDescent="0.25">
      <c r="D100" s="13" t="s">
        <v>167</v>
      </c>
      <c r="E100" s="26"/>
      <c r="F100" s="13"/>
      <c r="G100" s="22" t="s">
        <v>142</v>
      </c>
      <c r="H100" s="22"/>
      <c r="I100" s="22"/>
      <c r="J100" s="22"/>
      <c r="K100" s="13"/>
      <c r="L100" s="17">
        <f t="shared" ref="L100:Y100" si="128">L29</f>
        <v>566.86099999999999</v>
      </c>
      <c r="M100" s="17">
        <f t="shared" si="128"/>
        <v>582.048</v>
      </c>
      <c r="N100" s="17">
        <f t="shared" si="128"/>
        <v>597.99199999999996</v>
      </c>
      <c r="O100" s="17">
        <f t="shared" si="128"/>
        <v>611.25699999999995</v>
      </c>
      <c r="P100" s="17">
        <f t="shared" si="128"/>
        <v>643.48900000000003</v>
      </c>
      <c r="Q100" s="17">
        <f t="shared" si="128"/>
        <v>652.57100000000003</v>
      </c>
      <c r="R100" s="17">
        <f t="shared" si="128"/>
        <v>665.80499999999995</v>
      </c>
      <c r="S100" s="17">
        <f t="shared" si="128"/>
        <v>673.43</v>
      </c>
      <c r="T100" s="17">
        <f t="shared" si="128"/>
        <v>716.69799999999998</v>
      </c>
      <c r="U100" s="17">
        <f t="shared" si="128"/>
        <v>731.55799999999999</v>
      </c>
      <c r="V100" s="17">
        <f t="shared" si="128"/>
        <v>744.73099999999999</v>
      </c>
      <c r="W100" s="17">
        <f t="shared" si="128"/>
        <v>754.822</v>
      </c>
      <c r="X100" s="17">
        <f t="shared" si="128"/>
        <v>796.97299999999996</v>
      </c>
      <c r="Y100" s="17">
        <f t="shared" si="128"/>
        <v>806.59100000000001</v>
      </c>
    </row>
    <row r="101" spans="3:25" s="7" customFormat="1" ht="14.1" customHeight="1" x14ac:dyDescent="0.25">
      <c r="D101" s="13" t="s">
        <v>168</v>
      </c>
      <c r="E101" s="26"/>
      <c r="F101" s="13"/>
      <c r="G101" s="22" t="s">
        <v>142</v>
      </c>
      <c r="H101" s="22"/>
      <c r="I101" s="22"/>
      <c r="J101" s="22"/>
      <c r="K101" s="13"/>
      <c r="L101" s="17">
        <f t="shared" ref="L101:Y101" si="129">L45</f>
        <v>95.350999999999999</v>
      </c>
      <c r="M101" s="17">
        <f t="shared" si="129"/>
        <v>94.44</v>
      </c>
      <c r="N101" s="17">
        <f t="shared" si="129"/>
        <v>103.36199999999999</v>
      </c>
      <c r="O101" s="17">
        <f t="shared" si="129"/>
        <v>92.801000000000002</v>
      </c>
      <c r="P101" s="17">
        <f t="shared" si="129"/>
        <v>93.423000000000002</v>
      </c>
      <c r="Q101" s="17">
        <f t="shared" si="129"/>
        <v>89.801000000000002</v>
      </c>
      <c r="R101" s="17">
        <f t="shared" si="129"/>
        <v>89.99</v>
      </c>
      <c r="S101" s="17">
        <f t="shared" si="129"/>
        <v>89.058999999999997</v>
      </c>
      <c r="T101" s="17">
        <f t="shared" si="129"/>
        <v>95.545000000000002</v>
      </c>
      <c r="U101" s="17">
        <f t="shared" si="129"/>
        <v>94.709000000000003</v>
      </c>
      <c r="V101" s="17">
        <f t="shared" si="129"/>
        <v>86.456000000000003</v>
      </c>
      <c r="W101" s="17">
        <f t="shared" si="129"/>
        <v>90.658000000000001</v>
      </c>
      <c r="X101" s="17">
        <f t="shared" si="129"/>
        <v>98.251999999999995</v>
      </c>
      <c r="Y101" s="17">
        <f t="shared" si="129"/>
        <v>90.728999999999999</v>
      </c>
    </row>
    <row r="102" spans="3:25" s="7" customFormat="1" ht="14.1" customHeight="1" thickBot="1" x14ac:dyDescent="0.3">
      <c r="D102" s="76" t="s">
        <v>169</v>
      </c>
      <c r="E102" s="30"/>
      <c r="F102" s="28"/>
      <c r="G102" s="58" t="s">
        <v>142</v>
      </c>
      <c r="H102" s="58"/>
      <c r="I102" s="58"/>
      <c r="J102" s="58"/>
      <c r="K102" s="28"/>
      <c r="L102" s="81">
        <f t="shared" ref="L102:Y102" si="130">L52</f>
        <v>19.803000000000001</v>
      </c>
      <c r="M102" s="81">
        <f t="shared" si="130"/>
        <v>21.847999999999999</v>
      </c>
      <c r="N102" s="81">
        <f t="shared" si="130"/>
        <v>20.625</v>
      </c>
      <c r="O102" s="81">
        <f t="shared" si="130"/>
        <v>20.632999999999999</v>
      </c>
      <c r="P102" s="81">
        <f t="shared" si="130"/>
        <v>20.957000000000001</v>
      </c>
      <c r="Q102" s="81">
        <f t="shared" si="130"/>
        <v>23.373000000000001</v>
      </c>
      <c r="R102" s="81">
        <f t="shared" si="130"/>
        <v>25.19</v>
      </c>
      <c r="S102" s="81">
        <f t="shared" si="130"/>
        <v>22.885000000000002</v>
      </c>
      <c r="T102" s="81">
        <f t="shared" si="130"/>
        <v>22.187000000000001</v>
      </c>
      <c r="U102" s="81">
        <f t="shared" si="130"/>
        <v>22.821999999999999</v>
      </c>
      <c r="V102" s="81">
        <f t="shared" si="130"/>
        <v>23.082000000000001</v>
      </c>
      <c r="W102" s="81">
        <f t="shared" si="130"/>
        <v>24.748999999999999</v>
      </c>
      <c r="X102" s="81">
        <f t="shared" si="130"/>
        <v>24.672999999999998</v>
      </c>
      <c r="Y102" s="81">
        <f t="shared" si="130"/>
        <v>30.533000000000001</v>
      </c>
    </row>
    <row r="103" spans="3:25" s="7" customFormat="1" ht="14.1" customHeight="1" thickBot="1" x14ac:dyDescent="0.3">
      <c r="D103" s="90" t="s">
        <v>426</v>
      </c>
      <c r="E103" s="89"/>
      <c r="F103" s="90"/>
      <c r="G103" s="91" t="s">
        <v>142</v>
      </c>
      <c r="H103" s="91"/>
      <c r="I103" s="91"/>
      <c r="J103" s="91"/>
      <c r="K103" s="90"/>
      <c r="L103" s="92">
        <f>SUM(L100:L102)</f>
        <v>682.01499999999999</v>
      </c>
      <c r="M103" s="92">
        <f t="shared" ref="M103:T103" si="131">SUM(M100:M102)</f>
        <v>698.33600000000001</v>
      </c>
      <c r="N103" s="92">
        <f t="shared" si="131"/>
        <v>721.97899999999993</v>
      </c>
      <c r="O103" s="92">
        <f t="shared" si="131"/>
        <v>724.69100000000003</v>
      </c>
      <c r="P103" s="92">
        <f t="shared" si="131"/>
        <v>757.86900000000003</v>
      </c>
      <c r="Q103" s="92">
        <f t="shared" si="131"/>
        <v>765.74500000000012</v>
      </c>
      <c r="R103" s="92">
        <f t="shared" si="131"/>
        <v>780.98500000000001</v>
      </c>
      <c r="S103" s="92">
        <f t="shared" si="131"/>
        <v>785.37399999999991</v>
      </c>
      <c r="T103" s="92">
        <f t="shared" si="131"/>
        <v>834.43</v>
      </c>
      <c r="U103" s="92">
        <f t="shared" ref="U103:V103" si="132">SUM(U100:U102)</f>
        <v>849.08900000000006</v>
      </c>
      <c r="V103" s="92">
        <f t="shared" si="132"/>
        <v>854.26900000000001</v>
      </c>
      <c r="W103" s="92">
        <f t="shared" ref="W103:X103" si="133">SUM(W100:W102)</f>
        <v>870.22900000000004</v>
      </c>
      <c r="X103" s="92">
        <f t="shared" si="133"/>
        <v>919.89799999999991</v>
      </c>
      <c r="Y103" s="92">
        <f t="shared" ref="Y103" si="134">SUM(Y100:Y102)</f>
        <v>927.85300000000007</v>
      </c>
    </row>
    <row r="104" spans="3:25" s="7" customFormat="1" ht="14.1" customHeight="1" x14ac:dyDescent="0.25">
      <c r="E104" s="32"/>
      <c r="G104" s="41"/>
      <c r="H104" s="41"/>
      <c r="I104" s="41"/>
      <c r="J104" s="41"/>
    </row>
    <row r="105" spans="3:25" s="7" customFormat="1" ht="14.1" customHeight="1" x14ac:dyDescent="0.25">
      <c r="D105" s="13" t="s">
        <v>11</v>
      </c>
      <c r="E105" s="75"/>
      <c r="F105" s="13"/>
      <c r="G105" s="22" t="s">
        <v>142</v>
      </c>
      <c r="H105" s="22"/>
      <c r="I105" s="22"/>
      <c r="J105" s="22"/>
      <c r="K105" s="17">
        <f t="shared" ref="K105:Y105" si="135">K31</f>
        <v>380.34699999999998</v>
      </c>
      <c r="L105" s="17">
        <f t="shared" si="135"/>
        <v>408.995</v>
      </c>
      <c r="M105" s="17">
        <f t="shared" si="135"/>
        <v>420.35700000000003</v>
      </c>
      <c r="N105" s="17">
        <f t="shared" si="135"/>
        <v>430.45299999999997</v>
      </c>
      <c r="O105" s="17">
        <f t="shared" si="135"/>
        <v>434.58600000000001</v>
      </c>
      <c r="P105" s="17">
        <f t="shared" si="135"/>
        <v>457.34500000000003</v>
      </c>
      <c r="Q105" s="17">
        <f t="shared" si="135"/>
        <v>465.19799999999998</v>
      </c>
      <c r="R105" s="17">
        <f t="shared" si="135"/>
        <v>478.59100000000001</v>
      </c>
      <c r="S105" s="17">
        <f t="shared" si="135"/>
        <v>484.15100000000001</v>
      </c>
      <c r="T105" s="17">
        <f t="shared" si="135"/>
        <v>518.71</v>
      </c>
      <c r="U105" s="17">
        <f t="shared" si="135"/>
        <v>530.69799999999998</v>
      </c>
      <c r="V105" s="17">
        <f t="shared" si="135"/>
        <v>543.36</v>
      </c>
      <c r="W105" s="17">
        <f t="shared" si="135"/>
        <v>549.10400000000004</v>
      </c>
      <c r="X105" s="17">
        <f t="shared" si="135"/>
        <v>583.803</v>
      </c>
      <c r="Y105" s="17">
        <f t="shared" si="135"/>
        <v>595.351</v>
      </c>
    </row>
    <row r="106" spans="3:25" s="7" customFormat="1" ht="14.1" customHeight="1" x14ac:dyDescent="0.25">
      <c r="D106" s="13" t="s">
        <v>13</v>
      </c>
      <c r="E106" s="75"/>
      <c r="F106" s="13"/>
      <c r="G106" s="22" t="s">
        <v>142</v>
      </c>
      <c r="H106" s="22"/>
      <c r="I106" s="22"/>
      <c r="J106" s="22"/>
      <c r="K106" s="17">
        <f t="shared" ref="K106:Y106" si="136">K46</f>
        <v>-125.64100000000001</v>
      </c>
      <c r="L106" s="17">
        <f t="shared" si="136"/>
        <v>-133.18299999999999</v>
      </c>
      <c r="M106" s="17">
        <f t="shared" si="136"/>
        <v>-144.40899999999999</v>
      </c>
      <c r="N106" s="17">
        <f t="shared" si="136"/>
        <v>-129.917</v>
      </c>
      <c r="O106" s="17">
        <f t="shared" si="136"/>
        <v>-137.33799999999999</v>
      </c>
      <c r="P106" s="17">
        <f t="shared" si="136"/>
        <v>-133.917</v>
      </c>
      <c r="Q106" s="17">
        <f t="shared" si="136"/>
        <v>-134.964</v>
      </c>
      <c r="R106" s="17">
        <f t="shared" si="136"/>
        <v>-137.32499999999999</v>
      </c>
      <c r="S106" s="17">
        <f t="shared" si="136"/>
        <v>-144.90100000000001</v>
      </c>
      <c r="T106" s="17">
        <f t="shared" si="136"/>
        <v>-148.19999999999999</v>
      </c>
      <c r="U106" s="17">
        <f t="shared" si="136"/>
        <v>-154.47399999999999</v>
      </c>
      <c r="V106" s="17">
        <f t="shared" si="136"/>
        <v>-152.01499999999999</v>
      </c>
      <c r="W106" s="17">
        <f t="shared" si="136"/>
        <v>-172.78</v>
      </c>
      <c r="X106" s="17">
        <f t="shared" si="136"/>
        <v>-171.392</v>
      </c>
      <c r="Y106" s="17">
        <f t="shared" si="136"/>
        <v>-174.53899999999999</v>
      </c>
    </row>
    <row r="107" spans="3:25" s="7" customFormat="1" ht="14.1" customHeight="1" thickBot="1" x14ac:dyDescent="0.3">
      <c r="D107" s="13" t="s">
        <v>15</v>
      </c>
      <c r="E107" s="79"/>
      <c r="F107" s="28"/>
      <c r="G107" s="58" t="s">
        <v>142</v>
      </c>
      <c r="H107" s="58"/>
      <c r="I107" s="58"/>
      <c r="J107" s="58"/>
      <c r="K107" s="81">
        <f t="shared" ref="K107:Y107" si="137">K53</f>
        <v>-3.601</v>
      </c>
      <c r="L107" s="81">
        <f t="shared" si="137"/>
        <v>0.67</v>
      </c>
      <c r="M107" s="81">
        <f t="shared" si="137"/>
        <v>0.26</v>
      </c>
      <c r="N107" s="81">
        <f t="shared" si="137"/>
        <v>1.623</v>
      </c>
      <c r="O107" s="81">
        <f t="shared" si="137"/>
        <v>-0.129</v>
      </c>
      <c r="P107" s="81">
        <f t="shared" si="137"/>
        <v>4.5339999999999998</v>
      </c>
      <c r="Q107" s="81">
        <f t="shared" si="137"/>
        <v>0.44600000000000001</v>
      </c>
      <c r="R107" s="81">
        <f t="shared" si="137"/>
        <v>2.4409999999999998</v>
      </c>
      <c r="S107" s="81">
        <f t="shared" si="137"/>
        <v>-1.1120000000000001</v>
      </c>
      <c r="T107" s="81">
        <f t="shared" si="137"/>
        <v>4.1340000000000003</v>
      </c>
      <c r="U107" s="81">
        <f t="shared" si="137"/>
        <v>4.8730000000000002</v>
      </c>
      <c r="V107" s="81">
        <f t="shared" si="137"/>
        <v>5.0519999999999996</v>
      </c>
      <c r="W107" s="81">
        <f t="shared" si="137"/>
        <v>5.5359999999999996</v>
      </c>
      <c r="X107" s="81">
        <f t="shared" si="137"/>
        <v>6.2080000000000002</v>
      </c>
      <c r="Y107" s="81">
        <f t="shared" si="137"/>
        <v>5.1459999999999999</v>
      </c>
    </row>
    <row r="108" spans="3:25" s="7" customFormat="1" ht="14.1" customHeight="1" thickTop="1" thickBot="1" x14ac:dyDescent="0.3">
      <c r="D108" s="95" t="s">
        <v>1</v>
      </c>
      <c r="E108" s="93"/>
      <c r="F108" s="90"/>
      <c r="G108" s="91" t="s">
        <v>142</v>
      </c>
      <c r="H108" s="91"/>
      <c r="I108" s="91"/>
      <c r="J108" s="91"/>
      <c r="K108" s="90"/>
      <c r="L108" s="92">
        <f>SUM(L105:L107)</f>
        <v>276.48200000000003</v>
      </c>
      <c r="M108" s="92">
        <f t="shared" ref="M108:T108" si="138">SUM(M105:M107)</f>
        <v>276.20800000000003</v>
      </c>
      <c r="N108" s="92">
        <f t="shared" si="138"/>
        <v>302.15899999999993</v>
      </c>
      <c r="O108" s="92">
        <f t="shared" si="138"/>
        <v>297.11900000000003</v>
      </c>
      <c r="P108" s="92">
        <f t="shared" si="138"/>
        <v>327.96199999999999</v>
      </c>
      <c r="Q108" s="92">
        <f t="shared" si="138"/>
        <v>330.68</v>
      </c>
      <c r="R108" s="92">
        <f t="shared" si="138"/>
        <v>343.70699999999999</v>
      </c>
      <c r="S108" s="92">
        <f t="shared" si="138"/>
        <v>338.13799999999998</v>
      </c>
      <c r="T108" s="92">
        <f t="shared" si="138"/>
        <v>374.64400000000006</v>
      </c>
      <c r="U108" s="92">
        <f t="shared" ref="U108:V108" si="139">SUM(U105:U107)</f>
        <v>381.09699999999998</v>
      </c>
      <c r="V108" s="92">
        <f t="shared" si="139"/>
        <v>396.39700000000005</v>
      </c>
      <c r="W108" s="92">
        <f t="shared" ref="W108:X108" si="140">SUM(W105:W107)</f>
        <v>381.86000000000007</v>
      </c>
      <c r="X108" s="92">
        <f t="shared" si="140"/>
        <v>418.61900000000003</v>
      </c>
      <c r="Y108" s="92">
        <f t="shared" ref="Y108" si="141">SUM(Y105:Y107)</f>
        <v>425.95800000000003</v>
      </c>
    </row>
    <row r="109" spans="3:25" s="7" customFormat="1" ht="14.1" customHeight="1" thickBot="1" x14ac:dyDescent="0.3">
      <c r="D109" s="76" t="s">
        <v>425</v>
      </c>
      <c r="E109" s="24"/>
      <c r="G109" s="41" t="s">
        <v>142</v>
      </c>
      <c r="H109" s="41"/>
      <c r="I109" s="41"/>
      <c r="J109" s="41"/>
      <c r="L109" s="65">
        <f>L95</f>
        <v>-3.5129999999999999</v>
      </c>
      <c r="M109" s="65">
        <f t="shared" ref="M109:Y109" si="142">M95</f>
        <v>-8.7499233316361256</v>
      </c>
      <c r="N109" s="65">
        <f t="shared" si="142"/>
        <v>-5.0396826179727441</v>
      </c>
      <c r="O109" s="65">
        <f t="shared" si="142"/>
        <v>-18.185560703042768</v>
      </c>
      <c r="P109" s="65">
        <f t="shared" si="142"/>
        <v>-5.0281632274880508</v>
      </c>
      <c r="Q109" s="65">
        <f t="shared" si="142"/>
        <v>-7.38601947772014</v>
      </c>
      <c r="R109" s="65">
        <f t="shared" si="142"/>
        <v>-10.656883502456139</v>
      </c>
      <c r="S109" s="65">
        <f t="shared" si="142"/>
        <v>-19.386069528333167</v>
      </c>
      <c r="T109" s="65">
        <f t="shared" si="142"/>
        <v>-5.8011668808727563</v>
      </c>
      <c r="U109" s="65">
        <f t="shared" si="142"/>
        <v>-7.4688861621243632</v>
      </c>
      <c r="V109" s="65">
        <f t="shared" si="142"/>
        <v>-7.8195454457176652</v>
      </c>
      <c r="W109" s="65">
        <f t="shared" si="142"/>
        <v>-11.059886030679309</v>
      </c>
      <c r="X109" s="65">
        <f t="shared" si="142"/>
        <v>-9.0176634433478853</v>
      </c>
      <c r="Y109" s="65">
        <f t="shared" si="142"/>
        <v>-17.852229603017857</v>
      </c>
    </row>
    <row r="110" spans="3:25" s="7" customFormat="1" ht="14.1" customHeight="1" thickBot="1" x14ac:dyDescent="0.3">
      <c r="D110" s="90" t="s">
        <v>185</v>
      </c>
      <c r="E110" s="93"/>
      <c r="F110" s="90"/>
      <c r="G110" s="91" t="s">
        <v>142</v>
      </c>
      <c r="H110" s="91"/>
      <c r="I110" s="91"/>
      <c r="J110" s="91"/>
      <c r="K110" s="90"/>
      <c r="L110" s="92">
        <f>L108+L109</f>
        <v>272.96900000000005</v>
      </c>
      <c r="M110" s="92">
        <f t="shared" ref="M110:T110" si="143">M108+M109</f>
        <v>267.4580766683639</v>
      </c>
      <c r="N110" s="92">
        <f t="shared" si="143"/>
        <v>297.11931738202719</v>
      </c>
      <c r="O110" s="92">
        <f t="shared" si="143"/>
        <v>278.93343929695726</v>
      </c>
      <c r="P110" s="92">
        <f t="shared" si="143"/>
        <v>322.93383677251194</v>
      </c>
      <c r="Q110" s="92">
        <f t="shared" si="143"/>
        <v>323.29398052227987</v>
      </c>
      <c r="R110" s="92">
        <f t="shared" si="143"/>
        <v>333.05011649754385</v>
      </c>
      <c r="S110" s="92">
        <f t="shared" si="143"/>
        <v>318.75193047166681</v>
      </c>
      <c r="T110" s="92">
        <f t="shared" si="143"/>
        <v>368.84283311912731</v>
      </c>
      <c r="U110" s="92">
        <f t="shared" ref="U110:V110" si="144">U108+U109</f>
        <v>373.62811383787562</v>
      </c>
      <c r="V110" s="92">
        <f t="shared" si="144"/>
        <v>388.57745455428238</v>
      </c>
      <c r="W110" s="92">
        <f t="shared" ref="W110:X110" si="145">W108+W109</f>
        <v>370.80011396932076</v>
      </c>
      <c r="X110" s="92">
        <f t="shared" si="145"/>
        <v>409.60133655665214</v>
      </c>
      <c r="Y110" s="92">
        <f t="shared" ref="Y110" si="146">Y108+Y109</f>
        <v>408.10577039698217</v>
      </c>
    </row>
    <row r="111" spans="3:25" s="7" customFormat="1" ht="14.1" customHeight="1" x14ac:dyDescent="0.25">
      <c r="E111" s="24"/>
      <c r="G111" s="41"/>
      <c r="H111" s="41"/>
      <c r="I111" s="41"/>
      <c r="J111" s="41"/>
    </row>
    <row r="112" spans="3:25" s="7" customFormat="1" ht="14.1" customHeight="1" x14ac:dyDescent="0.25">
      <c r="D112" s="13" t="s">
        <v>242</v>
      </c>
      <c r="E112" s="75"/>
      <c r="F112" s="13"/>
      <c r="G112" s="22" t="s">
        <v>142</v>
      </c>
      <c r="H112" s="17"/>
      <c r="I112" s="17"/>
      <c r="J112" s="17"/>
      <c r="K112" s="17"/>
      <c r="L112" s="17">
        <f t="shared" ref="L112:Y112" si="147">L65</f>
        <v>134.35644130438385</v>
      </c>
      <c r="M112" s="17">
        <f t="shared" si="147"/>
        <v>136.91520242442246</v>
      </c>
      <c r="N112" s="17">
        <f t="shared" si="147"/>
        <v>159.13201276463508</v>
      </c>
      <c r="O112" s="17">
        <f t="shared" si="147"/>
        <v>146.43012698292111</v>
      </c>
      <c r="P112" s="17">
        <f t="shared" si="147"/>
        <v>170.50608201389667</v>
      </c>
      <c r="Q112" s="17">
        <f t="shared" si="147"/>
        <v>169.14279262109625</v>
      </c>
      <c r="R112" s="17">
        <f t="shared" si="147"/>
        <v>181.70928387350182</v>
      </c>
      <c r="S112" s="17">
        <f t="shared" si="147"/>
        <v>172.61059589223598</v>
      </c>
      <c r="T112" s="17">
        <f t="shared" si="147"/>
        <v>203.8671747522335</v>
      </c>
      <c r="U112" s="17">
        <f t="shared" si="147"/>
        <v>206.97738362039016</v>
      </c>
      <c r="V112" s="17">
        <f t="shared" si="147"/>
        <v>212.62084703891165</v>
      </c>
      <c r="W112" s="17">
        <f t="shared" si="147"/>
        <v>195.60496090524865</v>
      </c>
      <c r="X112" s="17">
        <f t="shared" si="147"/>
        <v>230.6349614929012</v>
      </c>
      <c r="Y112" s="17">
        <f t="shared" si="147"/>
        <v>235.95641626478405</v>
      </c>
    </row>
    <row r="113" spans="4:25" s="7" customFormat="1" ht="14.1" customHeight="1" x14ac:dyDescent="0.25">
      <c r="D113" s="76" t="s">
        <v>443</v>
      </c>
      <c r="E113" s="75"/>
      <c r="F113" s="13"/>
      <c r="G113" s="22" t="s">
        <v>142</v>
      </c>
      <c r="H113" s="17"/>
      <c r="I113" s="17"/>
      <c r="J113" s="17"/>
      <c r="K113" s="17"/>
      <c r="L113" s="17">
        <f>L95</f>
        <v>-3.5129999999999999</v>
      </c>
      <c r="M113" s="17">
        <f t="shared" ref="M113:Y113" si="148">M95</f>
        <v>-8.7499233316361256</v>
      </c>
      <c r="N113" s="17">
        <f t="shared" si="148"/>
        <v>-5.0396826179727441</v>
      </c>
      <c r="O113" s="17">
        <f t="shared" si="148"/>
        <v>-18.185560703042768</v>
      </c>
      <c r="P113" s="17">
        <f t="shared" si="148"/>
        <v>-5.0281632274880508</v>
      </c>
      <c r="Q113" s="17">
        <f t="shared" si="148"/>
        <v>-7.38601947772014</v>
      </c>
      <c r="R113" s="17">
        <f t="shared" si="148"/>
        <v>-10.656883502456139</v>
      </c>
      <c r="S113" s="17">
        <f t="shared" si="148"/>
        <v>-19.386069528333167</v>
      </c>
      <c r="T113" s="17">
        <f t="shared" si="148"/>
        <v>-5.8011668808727563</v>
      </c>
      <c r="U113" s="17">
        <f t="shared" si="148"/>
        <v>-7.4688861621243632</v>
      </c>
      <c r="V113" s="17">
        <f t="shared" si="148"/>
        <v>-7.8195454457176652</v>
      </c>
      <c r="W113" s="17">
        <f t="shared" si="148"/>
        <v>-11.059886030679309</v>
      </c>
      <c r="X113" s="17">
        <f t="shared" si="148"/>
        <v>-9.0176634433478853</v>
      </c>
      <c r="Y113" s="17">
        <f t="shared" si="148"/>
        <v>-17.852229603017857</v>
      </c>
    </row>
    <row r="114" spans="4:25" s="7" customFormat="1" ht="14.1" customHeight="1" x14ac:dyDescent="0.25">
      <c r="D114" s="76" t="s">
        <v>444</v>
      </c>
      <c r="E114" s="75"/>
      <c r="F114" s="13"/>
      <c r="G114" s="22" t="s">
        <v>142</v>
      </c>
      <c r="H114" s="17"/>
      <c r="I114" s="17"/>
      <c r="J114" s="17"/>
      <c r="K114" s="17"/>
      <c r="L114" s="271">
        <f>+'Quarterly IS'!D37</f>
        <v>0</v>
      </c>
      <c r="M114" s="271">
        <f>+'Quarterly IS'!E37</f>
        <v>0</v>
      </c>
      <c r="N114" s="271">
        <f>+'Quarterly IS'!F37</f>
        <v>0</v>
      </c>
      <c r="O114" s="271">
        <f>+'Quarterly IS'!G37</f>
        <v>0</v>
      </c>
      <c r="P114" s="271">
        <f>+'Quarterly IS'!H37</f>
        <v>0</v>
      </c>
      <c r="Q114" s="271">
        <f>+'Quarterly IS'!I37</f>
        <v>0</v>
      </c>
      <c r="R114" s="271">
        <f>+'Quarterly IS'!J37</f>
        <v>0</v>
      </c>
      <c r="S114" s="271">
        <f>+'Quarterly IS'!K37</f>
        <v>0</v>
      </c>
      <c r="T114" s="271">
        <f>+'Quarterly IS'!L37</f>
        <v>0</v>
      </c>
      <c r="U114" s="271">
        <f>+'Quarterly IS'!M37</f>
        <v>-4.0110000000000001</v>
      </c>
      <c r="V114" s="271">
        <f>+'Quarterly IS'!N37</f>
        <v>0</v>
      </c>
      <c r="W114" s="271">
        <f>+'Quarterly IS'!O37</f>
        <v>0</v>
      </c>
      <c r="X114" s="271">
        <f>+'Quarterly IS'!P37</f>
        <v>0</v>
      </c>
      <c r="Y114" s="271">
        <f>+'Quarterly IS'!Q37</f>
        <v>0</v>
      </c>
    </row>
    <row r="115" spans="4:25" s="7" customFormat="1" ht="14.1" customHeight="1" thickBot="1" x14ac:dyDescent="0.3">
      <c r="D115" s="76" t="s">
        <v>445</v>
      </c>
      <c r="E115" s="75"/>
      <c r="F115" s="13"/>
      <c r="G115" s="22" t="s">
        <v>142</v>
      </c>
      <c r="H115" s="17"/>
      <c r="I115" s="17"/>
      <c r="J115" s="17"/>
      <c r="K115" s="17"/>
      <c r="L115" s="271">
        <f>+'Quarterly IS'!D38</f>
        <v>-95.355999999999995</v>
      </c>
      <c r="M115" s="271">
        <f>+'Quarterly IS'!E38</f>
        <v>-101.17500000000001</v>
      </c>
      <c r="N115" s="271">
        <f>+'Quarterly IS'!F38</f>
        <v>-105.52699999999999</v>
      </c>
      <c r="O115" s="271">
        <f>+'Quarterly IS'!G38</f>
        <v>-105.43799999999999</v>
      </c>
      <c r="P115" s="271">
        <f>+'Quarterly IS'!H38</f>
        <v>-107.354</v>
      </c>
      <c r="Q115" s="271">
        <f>+'Quarterly IS'!I38</f>
        <v>-109.01600000000001</v>
      </c>
      <c r="R115" s="271">
        <f>+'Quarterly IS'!J38</f>
        <v>-110.39400000000001</v>
      </c>
      <c r="S115" s="271">
        <f>+'Quarterly IS'!K38</f>
        <v>-111.70999999999998</v>
      </c>
      <c r="T115" s="271">
        <f>+'Quarterly IS'!L38</f>
        <v>-117.943</v>
      </c>
      <c r="U115" s="271">
        <f>+'Quarterly IS'!M38</f>
        <v>-118.85299999999999</v>
      </c>
      <c r="V115" s="271">
        <f>+'Quarterly IS'!N38</f>
        <v>-118.38999999999999</v>
      </c>
      <c r="W115" s="271">
        <f>+'Quarterly IS'!O38</f>
        <v>-120.298</v>
      </c>
      <c r="X115" s="271">
        <f>+'Quarterly IS'!P38</f>
        <v>-120.66800000000001</v>
      </c>
      <c r="Y115" s="271">
        <f>+'Quarterly IS'!Q38</f>
        <v>-121.32680889875616</v>
      </c>
    </row>
    <row r="116" spans="4:25" s="7" customFormat="1" ht="14.1" customHeight="1" thickBot="1" x14ac:dyDescent="0.3">
      <c r="D116" s="88" t="s">
        <v>57</v>
      </c>
      <c r="E116" s="93"/>
      <c r="F116" s="90"/>
      <c r="G116" s="91" t="s">
        <v>142</v>
      </c>
      <c r="H116" s="94"/>
      <c r="I116" s="94"/>
      <c r="J116" s="94"/>
      <c r="K116" s="94"/>
      <c r="L116" s="275">
        <f>+'Quarterly IS'!D14</f>
        <v>35.48732480185339</v>
      </c>
      <c r="M116" s="275">
        <f>+'Quarterly IS'!E14</f>
        <v>26.990605009598745</v>
      </c>
      <c r="N116" s="275">
        <f>+'Quarterly IS'!F14</f>
        <v>48.566189480180768</v>
      </c>
      <c r="O116" s="275">
        <f>+'Quarterly IS'!G14</f>
        <v>22.805866253415413</v>
      </c>
      <c r="P116" s="275">
        <f>+'Quarterly IS'!H14</f>
        <v>58.123545792243881</v>
      </c>
      <c r="Q116" s="275">
        <f>+'Quarterly IS'!I14</f>
        <v>52.741115867872971</v>
      </c>
      <c r="R116" s="275">
        <f>+'Quarterly IS'!J14</f>
        <v>60.659529781567223</v>
      </c>
      <c r="S116" s="275">
        <f>+'Quarterly IS'!K14</f>
        <v>41.513687885684924</v>
      </c>
      <c r="T116" s="275">
        <f>+'Quarterly IS'!L14</f>
        <v>80.122892519153424</v>
      </c>
      <c r="U116" s="275">
        <f>+'Quarterly IS'!M14</f>
        <v>76.643314349066145</v>
      </c>
      <c r="V116" s="275">
        <f>+'Quarterly IS'!N14</f>
        <v>86.41269312796716</v>
      </c>
      <c r="W116" s="275">
        <f>+'Quarterly IS'!O14</f>
        <v>64.245583378588165</v>
      </c>
      <c r="X116" s="275">
        <f>+'Quarterly IS'!P14</f>
        <v>100.9503037969092</v>
      </c>
      <c r="Y116" s="275">
        <f>+'Quarterly IS'!Q14</f>
        <v>96.777377763010037</v>
      </c>
    </row>
    <row r="117" spans="4:25" s="7" customFormat="1" ht="14.1" customHeight="1" x14ac:dyDescent="0.25">
      <c r="E117" s="24"/>
      <c r="G117" s="41"/>
    </row>
    <row r="118" spans="4:25" s="7" customFormat="1" ht="14.1" customHeight="1" x14ac:dyDescent="0.25">
      <c r="D118" s="13" t="s">
        <v>391</v>
      </c>
      <c r="E118" s="75"/>
      <c r="F118" s="13"/>
      <c r="G118" s="22" t="s">
        <v>142</v>
      </c>
      <c r="H118" s="17"/>
      <c r="I118" s="17"/>
      <c r="J118" s="17"/>
      <c r="K118" s="17"/>
      <c r="L118" s="17">
        <f t="shared" ref="L118:Y118" si="149">L67</f>
        <v>61.069406856713464</v>
      </c>
      <c r="M118" s="17">
        <f t="shared" si="149"/>
        <v>48.819319495419549</v>
      </c>
      <c r="N118" s="17">
        <f t="shared" si="149"/>
        <v>72.656487216747607</v>
      </c>
      <c r="O118" s="17">
        <f t="shared" si="149"/>
        <v>37.315261736885674</v>
      </c>
      <c r="P118" s="17">
        <f t="shared" si="149"/>
        <v>71.555792024707387</v>
      </c>
      <c r="Q118" s="17">
        <f t="shared" si="149"/>
        <v>57.385126109567182</v>
      </c>
      <c r="R118" s="17">
        <f t="shared" si="149"/>
        <v>76.977919249561808</v>
      </c>
      <c r="S118" s="17">
        <f t="shared" si="149"/>
        <v>79.913874646144038</v>
      </c>
      <c r="T118" s="17">
        <f t="shared" si="149"/>
        <v>88.30827412958007</v>
      </c>
      <c r="U118" s="17">
        <f t="shared" si="149"/>
        <v>80.176180497251707</v>
      </c>
      <c r="V118" s="17">
        <f t="shared" si="149"/>
        <v>112.95613900338728</v>
      </c>
      <c r="W118" s="17">
        <f t="shared" si="149"/>
        <v>79.126363606026771</v>
      </c>
      <c r="X118" s="17">
        <f t="shared" si="149"/>
        <v>105.0087388357791</v>
      </c>
      <c r="Y118" s="17">
        <f t="shared" si="149"/>
        <v>114.62515689989891</v>
      </c>
    </row>
    <row r="119" spans="4:25" s="7" customFormat="1" ht="14.1" customHeight="1" x14ac:dyDescent="0.25">
      <c r="D119" s="13" t="s">
        <v>443</v>
      </c>
      <c r="E119" s="75"/>
      <c r="F119" s="13"/>
      <c r="G119" s="22" t="s">
        <v>142</v>
      </c>
      <c r="H119" s="17"/>
      <c r="I119" s="17"/>
      <c r="J119" s="17"/>
      <c r="K119" s="17"/>
      <c r="L119" s="17">
        <f>L95</f>
        <v>-3.5129999999999999</v>
      </c>
      <c r="M119" s="17">
        <f t="shared" ref="M119:Y119" si="150">M95</f>
        <v>-8.7499233316361256</v>
      </c>
      <c r="N119" s="17">
        <f t="shared" si="150"/>
        <v>-5.0396826179727441</v>
      </c>
      <c r="O119" s="17">
        <f t="shared" si="150"/>
        <v>-18.185560703042768</v>
      </c>
      <c r="P119" s="17">
        <f t="shared" si="150"/>
        <v>-5.0281632274880508</v>
      </c>
      <c r="Q119" s="17">
        <f t="shared" si="150"/>
        <v>-7.38601947772014</v>
      </c>
      <c r="R119" s="17">
        <f t="shared" si="150"/>
        <v>-10.656883502456139</v>
      </c>
      <c r="S119" s="17">
        <f t="shared" si="150"/>
        <v>-19.386069528333167</v>
      </c>
      <c r="T119" s="17">
        <f t="shared" si="150"/>
        <v>-5.8011668808727563</v>
      </c>
      <c r="U119" s="17">
        <f t="shared" si="150"/>
        <v>-7.4688861621243632</v>
      </c>
      <c r="V119" s="17">
        <f t="shared" si="150"/>
        <v>-7.8195454457176652</v>
      </c>
      <c r="W119" s="17">
        <f t="shared" si="150"/>
        <v>-11.059886030679309</v>
      </c>
      <c r="X119" s="17">
        <f t="shared" si="150"/>
        <v>-9.0176634433478853</v>
      </c>
      <c r="Y119" s="17">
        <f t="shared" si="150"/>
        <v>-17.852229603017857</v>
      </c>
    </row>
    <row r="120" spans="4:25" s="7" customFormat="1" ht="14.1" customHeight="1" x14ac:dyDescent="0.25">
      <c r="D120" s="13" t="s">
        <v>444</v>
      </c>
      <c r="E120" s="75"/>
      <c r="F120" s="13"/>
      <c r="G120" s="22" t="s">
        <v>142</v>
      </c>
      <c r="H120" s="17"/>
      <c r="I120" s="17"/>
      <c r="J120" s="17"/>
      <c r="K120" s="17"/>
      <c r="L120" s="17">
        <f t="shared" ref="L120:X120" si="151">L114</f>
        <v>0</v>
      </c>
      <c r="M120" s="17">
        <f t="shared" si="151"/>
        <v>0</v>
      </c>
      <c r="N120" s="17">
        <f t="shared" si="151"/>
        <v>0</v>
      </c>
      <c r="O120" s="17">
        <f t="shared" si="151"/>
        <v>0</v>
      </c>
      <c r="P120" s="17">
        <f t="shared" si="151"/>
        <v>0</v>
      </c>
      <c r="Q120" s="17">
        <f t="shared" si="151"/>
        <v>0</v>
      </c>
      <c r="R120" s="17">
        <f t="shared" si="151"/>
        <v>0</v>
      </c>
      <c r="S120" s="17">
        <f t="shared" si="151"/>
        <v>0</v>
      </c>
      <c r="T120" s="17">
        <f t="shared" si="151"/>
        <v>0</v>
      </c>
      <c r="U120" s="17">
        <f t="shared" si="151"/>
        <v>-4.0110000000000001</v>
      </c>
      <c r="V120" s="17">
        <f t="shared" si="151"/>
        <v>0</v>
      </c>
      <c r="W120" s="17">
        <f t="shared" si="151"/>
        <v>0</v>
      </c>
      <c r="X120" s="17">
        <f t="shared" si="151"/>
        <v>0</v>
      </c>
      <c r="Y120" s="17">
        <f>Y114</f>
        <v>0</v>
      </c>
    </row>
    <row r="121" spans="4:25" s="7" customFormat="1" ht="14.1" customHeight="1" x14ac:dyDescent="0.25">
      <c r="D121" s="13" t="s">
        <v>445</v>
      </c>
      <c r="E121" s="75"/>
      <c r="F121" s="13"/>
      <c r="G121" s="22" t="s">
        <v>142</v>
      </c>
      <c r="H121" s="17"/>
      <c r="I121" s="17"/>
      <c r="J121" s="17"/>
      <c r="K121" s="17"/>
      <c r="L121" s="17">
        <f>L115</f>
        <v>-95.355999999999995</v>
      </c>
      <c r="M121" s="17">
        <f t="shared" ref="M121:Y121" si="152">M115</f>
        <v>-101.17500000000001</v>
      </c>
      <c r="N121" s="17">
        <f t="shared" si="152"/>
        <v>-105.52699999999999</v>
      </c>
      <c r="O121" s="17">
        <f t="shared" si="152"/>
        <v>-105.43799999999999</v>
      </c>
      <c r="P121" s="17">
        <f t="shared" si="152"/>
        <v>-107.354</v>
      </c>
      <c r="Q121" s="17">
        <f t="shared" si="152"/>
        <v>-109.01600000000001</v>
      </c>
      <c r="R121" s="17">
        <f t="shared" si="152"/>
        <v>-110.39400000000001</v>
      </c>
      <c r="S121" s="17">
        <f t="shared" si="152"/>
        <v>-111.70999999999998</v>
      </c>
      <c r="T121" s="17">
        <f t="shared" si="152"/>
        <v>-117.943</v>
      </c>
      <c r="U121" s="17">
        <f t="shared" si="152"/>
        <v>-118.85299999999999</v>
      </c>
      <c r="V121" s="17">
        <f t="shared" si="152"/>
        <v>-118.38999999999999</v>
      </c>
      <c r="W121" s="17">
        <f t="shared" si="152"/>
        <v>-120.298</v>
      </c>
      <c r="X121" s="17">
        <f t="shared" si="152"/>
        <v>-120.66800000000001</v>
      </c>
      <c r="Y121" s="17">
        <f t="shared" si="152"/>
        <v>-121.32680889875616</v>
      </c>
    </row>
    <row r="122" spans="4:25" s="7" customFormat="1" ht="14.1" customHeight="1" thickBot="1" x14ac:dyDescent="0.3">
      <c r="D122" s="13" t="s">
        <v>446</v>
      </c>
      <c r="E122" s="75"/>
      <c r="F122" s="13"/>
      <c r="G122" s="22" t="s">
        <v>142</v>
      </c>
      <c r="H122" s="17"/>
      <c r="I122" s="17"/>
      <c r="J122" s="17"/>
      <c r="K122" s="17"/>
      <c r="L122" s="5">
        <v>23.021999999999998</v>
      </c>
      <c r="M122" s="5">
        <v>-16.613</v>
      </c>
      <c r="N122" s="5">
        <v>-5.306</v>
      </c>
      <c r="O122" s="5">
        <v>-15.441000000000001</v>
      </c>
      <c r="P122" s="5">
        <v>-20.725999999999999</v>
      </c>
      <c r="Q122" s="5">
        <v>21.727</v>
      </c>
      <c r="R122" s="5">
        <v>-11.545</v>
      </c>
      <c r="S122" s="5">
        <v>-72.308000000000007</v>
      </c>
      <c r="T122" s="5">
        <v>16.605</v>
      </c>
      <c r="U122" s="5">
        <v>-12.930999999999999</v>
      </c>
      <c r="V122" s="5">
        <v>-33.945999999999998</v>
      </c>
      <c r="W122" s="5">
        <v>-3.5569999999999999</v>
      </c>
      <c r="X122" s="5">
        <v>-18.670999999999999</v>
      </c>
      <c r="Y122" s="5">
        <v>-18.893000000000001</v>
      </c>
    </row>
    <row r="123" spans="4:25" s="7" customFormat="1" ht="14.1" customHeight="1" thickBot="1" x14ac:dyDescent="0.3">
      <c r="D123" s="88" t="s">
        <v>413</v>
      </c>
      <c r="E123" s="93"/>
      <c r="F123" s="90"/>
      <c r="G123" s="290" t="s">
        <v>142</v>
      </c>
      <c r="H123" s="94"/>
      <c r="I123" s="94"/>
      <c r="J123" s="94"/>
      <c r="K123" s="94"/>
      <c r="L123" s="289">
        <f>SUM(L118:L122)</f>
        <v>-14.777593143286531</v>
      </c>
      <c r="M123" s="289">
        <f t="shared" ref="M123:Y123" si="153">SUM(M118:M122)</f>
        <v>-77.718603836216587</v>
      </c>
      <c r="N123" s="289">
        <f t="shared" si="153"/>
        <v>-43.216195401225121</v>
      </c>
      <c r="O123" s="289">
        <f t="shared" si="153"/>
        <v>-101.74929896615708</v>
      </c>
      <c r="P123" s="289">
        <f t="shared" si="153"/>
        <v>-61.552371202780662</v>
      </c>
      <c r="Q123" s="289">
        <f t="shared" si="153"/>
        <v>-37.28989336815296</v>
      </c>
      <c r="R123" s="289">
        <f t="shared" si="153"/>
        <v>-55.617964252894339</v>
      </c>
      <c r="S123" s="289">
        <f t="shared" si="153"/>
        <v>-123.49019488218912</v>
      </c>
      <c r="T123" s="289">
        <f t="shared" si="153"/>
        <v>-18.830892751292684</v>
      </c>
      <c r="U123" s="289">
        <f t="shared" si="153"/>
        <v>-63.087705664872644</v>
      </c>
      <c r="V123" s="289">
        <f t="shared" si="153"/>
        <v>-47.199406442330371</v>
      </c>
      <c r="W123" s="289">
        <f t="shared" si="153"/>
        <v>-55.788522424652541</v>
      </c>
      <c r="X123" s="289">
        <f t="shared" si="153"/>
        <v>-43.347924607568793</v>
      </c>
      <c r="Y123" s="289">
        <f t="shared" si="153"/>
        <v>-43.446881601875106</v>
      </c>
    </row>
    <row r="124" spans="4:25" ht="12.75" thickBot="1" x14ac:dyDescent="0.25">
      <c r="L124" s="292"/>
      <c r="M124" s="292"/>
      <c r="N124" s="292"/>
      <c r="O124" s="292"/>
      <c r="P124" s="292"/>
      <c r="Q124" s="292"/>
      <c r="R124" s="292"/>
      <c r="S124" s="292"/>
      <c r="T124" s="292"/>
      <c r="U124" s="292"/>
      <c r="V124" s="292"/>
      <c r="W124" s="292"/>
      <c r="X124" s="292"/>
      <c r="Y124" s="292"/>
    </row>
    <row r="125" spans="4:25" s="7" customFormat="1" ht="14.1" hidden="1" customHeight="1" outlineLevel="1" x14ac:dyDescent="0.25">
      <c r="D125" s="13" t="s">
        <v>32</v>
      </c>
      <c r="E125" s="75"/>
      <c r="F125" s="13"/>
      <c r="G125" s="22" t="s">
        <v>142</v>
      </c>
      <c r="H125" s="231"/>
      <c r="I125" s="231"/>
      <c r="J125" s="231"/>
      <c r="K125" s="231"/>
      <c r="L125" s="231" t="s">
        <v>191</v>
      </c>
      <c r="M125" s="231" t="s">
        <v>191</v>
      </c>
      <c r="N125" s="231" t="s">
        <v>191</v>
      </c>
      <c r="O125" s="231" t="s">
        <v>191</v>
      </c>
      <c r="P125" s="231" t="s">
        <v>191</v>
      </c>
      <c r="Q125" s="231" t="s">
        <v>191</v>
      </c>
      <c r="R125" s="231" t="s">
        <v>191</v>
      </c>
      <c r="S125" s="231" t="s">
        <v>191</v>
      </c>
      <c r="T125" s="231" t="s">
        <v>191</v>
      </c>
      <c r="U125" s="231" t="s">
        <v>191</v>
      </c>
      <c r="V125" s="231" t="s">
        <v>191</v>
      </c>
      <c r="W125" s="231" t="s">
        <v>191</v>
      </c>
      <c r="X125" s="231" t="s">
        <v>191</v>
      </c>
      <c r="Y125" s="231" t="s">
        <v>191</v>
      </c>
    </row>
    <row r="126" spans="4:25" s="7" customFormat="1" ht="14.1" hidden="1" customHeight="1" outlineLevel="1" x14ac:dyDescent="0.25">
      <c r="D126" s="13" t="s">
        <v>345</v>
      </c>
      <c r="E126" s="75"/>
      <c r="F126" s="13"/>
      <c r="G126" s="22" t="s">
        <v>142</v>
      </c>
      <c r="H126" s="231"/>
      <c r="I126" s="231"/>
      <c r="J126" s="231"/>
      <c r="K126" s="231"/>
      <c r="L126" s="231" t="s">
        <v>191</v>
      </c>
      <c r="M126" s="231" t="s">
        <v>191</v>
      </c>
      <c r="N126" s="231" t="s">
        <v>191</v>
      </c>
      <c r="O126" s="231" t="s">
        <v>191</v>
      </c>
      <c r="P126" s="231" t="s">
        <v>191</v>
      </c>
      <c r="Q126" s="231" t="s">
        <v>191</v>
      </c>
      <c r="R126" s="231" t="s">
        <v>191</v>
      </c>
      <c r="S126" s="231" t="s">
        <v>191</v>
      </c>
      <c r="T126" s="231" t="s">
        <v>191</v>
      </c>
      <c r="U126" s="231" t="s">
        <v>191</v>
      </c>
      <c r="V126" s="231" t="s">
        <v>191</v>
      </c>
      <c r="W126" s="231" t="s">
        <v>191</v>
      </c>
      <c r="X126" s="231" t="s">
        <v>191</v>
      </c>
      <c r="Y126" s="231" t="s">
        <v>191</v>
      </c>
    </row>
    <row r="127" spans="4:25" s="7" customFormat="1" ht="14.1" hidden="1" customHeight="1" outlineLevel="1" x14ac:dyDescent="0.25">
      <c r="D127" s="13" t="s">
        <v>34</v>
      </c>
      <c r="E127" s="75"/>
      <c r="F127" s="13"/>
      <c r="G127" s="22" t="s">
        <v>142</v>
      </c>
      <c r="H127" s="231"/>
      <c r="I127" s="231"/>
      <c r="J127" s="231"/>
      <c r="K127" s="231"/>
      <c r="L127" s="231" t="s">
        <v>191</v>
      </c>
      <c r="M127" s="231" t="s">
        <v>191</v>
      </c>
      <c r="N127" s="231" t="s">
        <v>191</v>
      </c>
      <c r="O127" s="231" t="s">
        <v>191</v>
      </c>
      <c r="P127" s="231" t="s">
        <v>191</v>
      </c>
      <c r="Q127" s="231" t="s">
        <v>191</v>
      </c>
      <c r="R127" s="231" t="s">
        <v>191</v>
      </c>
      <c r="S127" s="231" t="s">
        <v>191</v>
      </c>
      <c r="T127" s="231" t="s">
        <v>191</v>
      </c>
      <c r="U127" s="231" t="s">
        <v>191</v>
      </c>
      <c r="V127" s="231" t="s">
        <v>191</v>
      </c>
      <c r="W127" s="231" t="s">
        <v>191</v>
      </c>
      <c r="X127" s="231" t="s">
        <v>191</v>
      </c>
      <c r="Y127" s="231" t="s">
        <v>191</v>
      </c>
    </row>
    <row r="128" spans="4:25" s="7" customFormat="1" ht="14.1" hidden="1" customHeight="1" outlineLevel="1" thickBot="1" x14ac:dyDescent="0.3">
      <c r="D128" s="7" t="s">
        <v>35</v>
      </c>
      <c r="E128" s="24"/>
      <c r="G128" s="58" t="s">
        <v>142</v>
      </c>
      <c r="H128" s="231"/>
      <c r="I128" s="231"/>
      <c r="J128" s="231"/>
      <c r="K128" s="231"/>
      <c r="L128" s="231" t="s">
        <v>191</v>
      </c>
      <c r="M128" s="231" t="s">
        <v>191</v>
      </c>
      <c r="N128" s="231" t="s">
        <v>191</v>
      </c>
      <c r="O128" s="231" t="s">
        <v>191</v>
      </c>
      <c r="P128" s="231" t="s">
        <v>191</v>
      </c>
      <c r="Q128" s="231" t="s">
        <v>191</v>
      </c>
      <c r="R128" s="231" t="s">
        <v>191</v>
      </c>
      <c r="S128" s="231" t="s">
        <v>191</v>
      </c>
      <c r="T128" s="231" t="s">
        <v>191</v>
      </c>
      <c r="U128" s="231" t="s">
        <v>191</v>
      </c>
      <c r="V128" s="231" t="s">
        <v>191</v>
      </c>
      <c r="W128" s="231" t="s">
        <v>191</v>
      </c>
      <c r="X128" s="231" t="s">
        <v>191</v>
      </c>
      <c r="Y128" s="231" t="s">
        <v>191</v>
      </c>
    </row>
    <row r="129" spans="4:25" s="7" customFormat="1" ht="14.1" customHeight="1" collapsed="1" thickBot="1" x14ac:dyDescent="0.3">
      <c r="D129" s="90" t="s">
        <v>181</v>
      </c>
      <c r="E129" s="93"/>
      <c r="F129" s="90"/>
      <c r="G129" s="91" t="s">
        <v>142</v>
      </c>
      <c r="H129" s="94"/>
      <c r="I129" s="94"/>
      <c r="J129" s="94"/>
      <c r="K129" s="94"/>
      <c r="L129" s="275">
        <f>+'Quarterly IS'!D12</f>
        <v>-219.26699953791413</v>
      </c>
      <c r="M129" s="275">
        <f>+'Quarterly IS'!E12</f>
        <v>-220.19544892648076</v>
      </c>
      <c r="N129" s="275">
        <f>+'Quarterly IS'!F12</f>
        <v>-226.04856786321733</v>
      </c>
      <c r="O129" s="275">
        <f>+'Quarterly IS'!G12</f>
        <v>-229.85916255422723</v>
      </c>
      <c r="P129" s="275">
        <f>+'Quarterly IS'!H12</f>
        <v>-236.15332446403039</v>
      </c>
      <c r="Q129" s="275">
        <f>+'Quarterly IS'!I12</f>
        <v>-241.53480612802045</v>
      </c>
      <c r="R129" s="275">
        <f>+'Quarterly IS'!J12</f>
        <v>-244.40952894823923</v>
      </c>
      <c r="S129" s="275">
        <f>+'Quarterly IS'!K12</f>
        <v>-248.80683748308084</v>
      </c>
      <c r="T129" s="275">
        <f>+'Quarterly IS'!L12</f>
        <v>-259.47495085580823</v>
      </c>
      <c r="U129" s="275">
        <f>+'Quarterly IS'!M12</f>
        <v>-263.89799839191335</v>
      </c>
      <c r="V129" s="275">
        <f>+'Quarterly IS'!N12</f>
        <v>-272.3849727769956</v>
      </c>
      <c r="W129" s="275">
        <f>+'Quarterly IS'!O12</f>
        <v>-272.89137797127711</v>
      </c>
      <c r="X129" s="275">
        <f>+'Quarterly IS'!P12</f>
        <v>-276.80937383450112</v>
      </c>
      <c r="Y129" s="275">
        <f>+'Quarterly IS'!Q12</f>
        <v>-280.22570384004166</v>
      </c>
    </row>
    <row r="130" spans="4:25" s="7" customFormat="1" ht="14.1" customHeight="1" thickBot="1" x14ac:dyDescent="0.3">
      <c r="D130" s="7" t="s">
        <v>8</v>
      </c>
      <c r="E130" s="24"/>
      <c r="G130" s="41" t="s">
        <v>142</v>
      </c>
      <c r="H130" s="78"/>
      <c r="I130" s="78"/>
      <c r="J130" s="78"/>
      <c r="K130" s="78"/>
      <c r="L130" s="273">
        <f>+'Quarterly IS'!D13</f>
        <v>-18.056116502530561</v>
      </c>
      <c r="M130" s="273">
        <f>+'Quarterly IS'!E13</f>
        <v>-20.272574083187592</v>
      </c>
      <c r="N130" s="273">
        <f>+'Quarterly IS'!F13</f>
        <v>-22.50514066648158</v>
      </c>
      <c r="O130" s="273">
        <f>+'Quarterly IS'!G13</f>
        <v>-26.267700026462926</v>
      </c>
      <c r="P130" s="273">
        <f>+'Quarterly IS'!H13</f>
        <v>-28.497372994164841</v>
      </c>
      <c r="Q130" s="273">
        <f>+'Quarterly IS'!I13</f>
        <v>-29.019457275503139</v>
      </c>
      <c r="R130" s="273">
        <f>+'Quarterly IS'!J13</f>
        <v>-27.982370589478563</v>
      </c>
      <c r="S130" s="273">
        <f>+'Quarterly IS'!K13</f>
        <v>-28.659338478217879</v>
      </c>
      <c r="T130" s="273">
        <f>+'Quarterly IS'!L13</f>
        <v>-29.322115352207287</v>
      </c>
      <c r="U130" s="273">
        <f>+'Quarterly IS'!M13</f>
        <v>-33.005183109199614</v>
      </c>
      <c r="V130" s="273">
        <f>+'Quarterly IS'!N13</f>
        <v>-29.868608465226906</v>
      </c>
      <c r="W130" s="273">
        <f>+'Quarterly IS'!O13</f>
        <v>-33.621291495981197</v>
      </c>
      <c r="X130" s="273">
        <f>+'Quarterly IS'!P13</f>
        <v>-31.978994252644089</v>
      </c>
      <c r="Y130" s="273">
        <f>+'Quarterly IS'!Q13</f>
        <v>-31.144660001291815</v>
      </c>
    </row>
    <row r="131" spans="4:25" s="7" customFormat="1" ht="14.1" customHeight="1" thickBot="1" x14ac:dyDescent="0.3">
      <c r="D131" s="90" t="s">
        <v>182</v>
      </c>
      <c r="E131" s="93"/>
      <c r="F131" s="90"/>
      <c r="G131" s="91" t="s">
        <v>142</v>
      </c>
      <c r="H131" s="92"/>
      <c r="I131" s="92"/>
      <c r="J131" s="92"/>
      <c r="K131" s="92"/>
      <c r="L131" s="92">
        <f t="shared" ref="L131:V131" si="154">+SUM(L129:L130)</f>
        <v>-237.32311604044469</v>
      </c>
      <c r="M131" s="92">
        <f t="shared" si="154"/>
        <v>-240.46802300966834</v>
      </c>
      <c r="N131" s="92">
        <f t="shared" si="154"/>
        <v>-248.55370852969889</v>
      </c>
      <c r="O131" s="92">
        <f t="shared" si="154"/>
        <v>-256.12686258069016</v>
      </c>
      <c r="P131" s="92">
        <f t="shared" si="154"/>
        <v>-264.65069745819522</v>
      </c>
      <c r="Q131" s="92">
        <f t="shared" si="154"/>
        <v>-270.55426340352358</v>
      </c>
      <c r="R131" s="92">
        <f t="shared" si="154"/>
        <v>-272.39189953771779</v>
      </c>
      <c r="S131" s="92">
        <f t="shared" si="154"/>
        <v>-277.46617596129875</v>
      </c>
      <c r="T131" s="92">
        <f t="shared" si="154"/>
        <v>-288.79706620801551</v>
      </c>
      <c r="U131" s="92">
        <f t="shared" si="154"/>
        <v>-296.90318150111295</v>
      </c>
      <c r="V131" s="92">
        <f t="shared" si="154"/>
        <v>-302.25358124222248</v>
      </c>
      <c r="W131" s="92">
        <f t="shared" ref="W131:X131" si="155">+SUM(W129:W130)</f>
        <v>-306.51266946725832</v>
      </c>
      <c r="X131" s="92">
        <f t="shared" si="155"/>
        <v>-308.78836808714522</v>
      </c>
      <c r="Y131" s="92">
        <f t="shared" ref="Y131" si="156">+SUM(Y129:Y130)</f>
        <v>-311.37036384133347</v>
      </c>
    </row>
    <row r="132" spans="4:25" s="7" customFormat="1" ht="14.1" customHeight="1" x14ac:dyDescent="0.25">
      <c r="D132" s="230" t="s">
        <v>444</v>
      </c>
      <c r="E132" s="232"/>
      <c r="F132" s="233"/>
      <c r="G132" s="234" t="s">
        <v>142</v>
      </c>
      <c r="H132" s="223"/>
      <c r="I132" s="223"/>
      <c r="J132" s="223"/>
      <c r="K132" s="223"/>
      <c r="L132" s="223">
        <f t="shared" ref="L132:X132" si="157">L114</f>
        <v>0</v>
      </c>
      <c r="M132" s="223">
        <f t="shared" si="157"/>
        <v>0</v>
      </c>
      <c r="N132" s="223">
        <f t="shared" si="157"/>
        <v>0</v>
      </c>
      <c r="O132" s="223">
        <f t="shared" si="157"/>
        <v>0</v>
      </c>
      <c r="P132" s="223">
        <f t="shared" si="157"/>
        <v>0</v>
      </c>
      <c r="Q132" s="223">
        <f t="shared" si="157"/>
        <v>0</v>
      </c>
      <c r="R132" s="223">
        <f t="shared" si="157"/>
        <v>0</v>
      </c>
      <c r="S132" s="223">
        <f t="shared" si="157"/>
        <v>0</v>
      </c>
      <c r="T132" s="223">
        <f t="shared" si="157"/>
        <v>0</v>
      </c>
      <c r="U132" s="223">
        <f t="shared" si="157"/>
        <v>-4.0110000000000001</v>
      </c>
      <c r="V132" s="223">
        <f t="shared" si="157"/>
        <v>0</v>
      </c>
      <c r="W132" s="223">
        <f t="shared" si="157"/>
        <v>0</v>
      </c>
      <c r="X132" s="223">
        <f t="shared" si="157"/>
        <v>0</v>
      </c>
      <c r="Y132" s="223">
        <f>Y114</f>
        <v>0</v>
      </c>
    </row>
    <row r="133" spans="4:25" s="7" customFormat="1" ht="14.1" customHeight="1" thickBot="1" x14ac:dyDescent="0.3">
      <c r="D133" s="235" t="s">
        <v>445</v>
      </c>
      <c r="E133" s="236"/>
      <c r="F133" s="237"/>
      <c r="G133" s="39" t="s">
        <v>142</v>
      </c>
      <c r="H133" s="238"/>
      <c r="I133" s="238"/>
      <c r="J133" s="238"/>
      <c r="K133" s="238"/>
      <c r="L133" s="239">
        <f>-L115</f>
        <v>95.355999999999995</v>
      </c>
      <c r="M133" s="239">
        <f t="shared" ref="M133:Y133" si="158">-M115</f>
        <v>101.17500000000001</v>
      </c>
      <c r="N133" s="239">
        <f t="shared" si="158"/>
        <v>105.52699999999999</v>
      </c>
      <c r="O133" s="239">
        <f t="shared" si="158"/>
        <v>105.43799999999999</v>
      </c>
      <c r="P133" s="239">
        <f t="shared" si="158"/>
        <v>107.354</v>
      </c>
      <c r="Q133" s="239">
        <f t="shared" si="158"/>
        <v>109.01600000000001</v>
      </c>
      <c r="R133" s="239">
        <f t="shared" si="158"/>
        <v>110.39400000000001</v>
      </c>
      <c r="S133" s="239">
        <f t="shared" si="158"/>
        <v>111.70999999999998</v>
      </c>
      <c r="T133" s="239">
        <f t="shared" si="158"/>
        <v>117.943</v>
      </c>
      <c r="U133" s="239">
        <f t="shared" si="158"/>
        <v>118.85299999999999</v>
      </c>
      <c r="V133" s="239">
        <f t="shared" si="158"/>
        <v>118.38999999999999</v>
      </c>
      <c r="W133" s="239">
        <f t="shared" si="158"/>
        <v>120.298</v>
      </c>
      <c r="X133" s="239">
        <f t="shared" si="158"/>
        <v>120.66800000000001</v>
      </c>
      <c r="Y133" s="239">
        <f t="shared" si="158"/>
        <v>121.32680889875616</v>
      </c>
    </row>
    <row r="134" spans="4:25" s="7" customFormat="1" ht="14.1" customHeight="1" thickBot="1" x14ac:dyDescent="0.3">
      <c r="D134" s="90" t="s">
        <v>178</v>
      </c>
      <c r="E134" s="93"/>
      <c r="F134" s="90"/>
      <c r="G134" s="91" t="s">
        <v>142</v>
      </c>
      <c r="H134" s="92"/>
      <c r="I134" s="92"/>
      <c r="J134" s="92"/>
      <c r="K134" s="92"/>
      <c r="L134" s="92">
        <f t="shared" ref="L134:Y134" si="159">L63</f>
        <v>-141.96699953791415</v>
      </c>
      <c r="M134" s="92">
        <f t="shared" si="159"/>
        <v>-139.29344892648075</v>
      </c>
      <c r="N134" s="92">
        <f t="shared" si="159"/>
        <v>-143.02656786321734</v>
      </c>
      <c r="O134" s="92">
        <f t="shared" si="159"/>
        <v>-150.68916255422724</v>
      </c>
      <c r="P134" s="92">
        <f t="shared" si="159"/>
        <v>-157.29632446403042</v>
      </c>
      <c r="Q134" s="92">
        <f t="shared" si="159"/>
        <v>-161.53780612802046</v>
      </c>
      <c r="R134" s="92">
        <f t="shared" si="159"/>
        <v>-161.99752894823922</v>
      </c>
      <c r="S134" s="92">
        <f t="shared" si="159"/>
        <v>-165.75583748308085</v>
      </c>
      <c r="T134" s="92">
        <f t="shared" si="159"/>
        <v>-170.85395085580825</v>
      </c>
      <c r="U134" s="92">
        <f t="shared" si="159"/>
        <v>-174.03899839191334</v>
      </c>
      <c r="V134" s="92">
        <f t="shared" si="159"/>
        <v>-183.86397277699561</v>
      </c>
      <c r="W134" s="92">
        <f t="shared" si="159"/>
        <v>-186.21437797127712</v>
      </c>
      <c r="X134" s="92">
        <f t="shared" si="159"/>
        <v>-188.12037383450109</v>
      </c>
      <c r="Y134" s="92">
        <f t="shared" si="159"/>
        <v>-190.0435549425774</v>
      </c>
    </row>
    <row r="135" spans="4:25" s="7" customFormat="1" ht="14.1" customHeight="1" x14ac:dyDescent="0.25">
      <c r="E135" s="24"/>
      <c r="G135" s="41"/>
      <c r="H135" s="41"/>
      <c r="I135" s="41"/>
      <c r="J135" s="41"/>
    </row>
    <row r="136" spans="4:25" s="7" customFormat="1" ht="14.1" customHeight="1" x14ac:dyDescent="0.25">
      <c r="D136" s="13" t="s">
        <v>171</v>
      </c>
      <c r="E136" s="75"/>
      <c r="F136" s="13"/>
      <c r="G136" s="22" t="s">
        <v>142</v>
      </c>
      <c r="H136" s="22"/>
      <c r="I136" s="22"/>
      <c r="J136" s="22"/>
      <c r="K136" s="13"/>
      <c r="L136" s="17">
        <f t="shared" ref="L136:Y136" si="160">L33</f>
        <v>-20.100000000000001</v>
      </c>
      <c r="M136" s="17">
        <f t="shared" si="160"/>
        <v>-22.9</v>
      </c>
      <c r="N136" s="17">
        <f t="shared" si="160"/>
        <v>-24.3</v>
      </c>
      <c r="O136" s="17">
        <f t="shared" si="160"/>
        <v>-26.8</v>
      </c>
      <c r="P136" s="17">
        <f t="shared" si="160"/>
        <v>-28.7</v>
      </c>
      <c r="Q136" s="17">
        <f t="shared" si="160"/>
        <v>-28.8</v>
      </c>
      <c r="R136" s="17">
        <f t="shared" si="160"/>
        <v>-28.8</v>
      </c>
      <c r="S136" s="17">
        <f t="shared" si="160"/>
        <v>-31.5</v>
      </c>
      <c r="T136" s="17">
        <f t="shared" si="160"/>
        <v>-34.5</v>
      </c>
      <c r="U136" s="17">
        <f t="shared" si="160"/>
        <v>-37.5</v>
      </c>
      <c r="V136" s="17">
        <f t="shared" si="160"/>
        <v>-37.1</v>
      </c>
      <c r="W136" s="17">
        <f t="shared" si="160"/>
        <v>-45.9</v>
      </c>
      <c r="X136" s="17">
        <f t="shared" si="160"/>
        <v>-47.6</v>
      </c>
      <c r="Y136" s="17">
        <f t="shared" si="160"/>
        <v>-48.3</v>
      </c>
    </row>
    <row r="137" spans="4:25" s="7" customFormat="1" ht="14.1" customHeight="1" x14ac:dyDescent="0.25">
      <c r="D137" s="13" t="s">
        <v>150</v>
      </c>
      <c r="E137" s="75"/>
      <c r="F137" s="13"/>
      <c r="G137" s="22" t="s">
        <v>142</v>
      </c>
      <c r="H137" s="22"/>
      <c r="I137" s="22"/>
      <c r="J137" s="22"/>
      <c r="K137" s="13"/>
      <c r="L137" s="17">
        <f t="shared" ref="L137:Y137" si="161">L47</f>
        <v>-145.72499999999999</v>
      </c>
      <c r="M137" s="17">
        <f t="shared" si="161"/>
        <v>-148.27799999999999</v>
      </c>
      <c r="N137" s="17">
        <f t="shared" si="161"/>
        <v>-148.27500000000001</v>
      </c>
      <c r="O137" s="17">
        <f t="shared" si="161"/>
        <v>-141.46</v>
      </c>
      <c r="P137" s="17">
        <f t="shared" si="161"/>
        <v>-145.94</v>
      </c>
      <c r="Q137" s="17">
        <f t="shared" si="161"/>
        <v>-147.25899999999999</v>
      </c>
      <c r="R137" s="17">
        <f t="shared" si="161"/>
        <v>-143.22399999999999</v>
      </c>
      <c r="S137" s="17">
        <f t="shared" si="161"/>
        <v>-141.03399999999999</v>
      </c>
      <c r="T137" s="17">
        <f t="shared" si="161"/>
        <v>-146.92599999999999</v>
      </c>
      <c r="U137" s="17">
        <f t="shared" si="161"/>
        <v>-143.95099999999999</v>
      </c>
      <c r="V137" s="17">
        <f t="shared" si="161"/>
        <v>-140.41300000000001</v>
      </c>
      <c r="W137" s="17">
        <f t="shared" si="161"/>
        <v>-149.16200000000001</v>
      </c>
      <c r="X137" s="17">
        <f t="shared" si="161"/>
        <v>-147.53200000000001</v>
      </c>
      <c r="Y137" s="17">
        <f t="shared" si="161"/>
        <v>-145.71799999999999</v>
      </c>
    </row>
    <row r="138" spans="4:25" s="7" customFormat="1" ht="14.1" customHeight="1" x14ac:dyDescent="0.25">
      <c r="D138" s="13" t="s">
        <v>156</v>
      </c>
      <c r="E138" s="75"/>
      <c r="F138" s="13"/>
      <c r="G138" s="22" t="s">
        <v>142</v>
      </c>
      <c r="H138" s="22"/>
      <c r="I138" s="22"/>
      <c r="J138" s="22"/>
      <c r="K138" s="13"/>
      <c r="L138" s="17">
        <f t="shared" ref="L138:Y138" si="162">L54</f>
        <v>-1.6</v>
      </c>
      <c r="M138" s="17">
        <f t="shared" si="162"/>
        <v>-1.1000000000000001</v>
      </c>
      <c r="N138" s="17">
        <f t="shared" si="162"/>
        <v>-1.5</v>
      </c>
      <c r="O138" s="17">
        <f t="shared" si="162"/>
        <v>-4.3</v>
      </c>
      <c r="P138" s="17">
        <f t="shared" si="162"/>
        <v>-4.5999999999999996</v>
      </c>
      <c r="Q138" s="17">
        <f t="shared" si="162"/>
        <v>-4.8</v>
      </c>
      <c r="R138" s="17">
        <f t="shared" si="162"/>
        <v>-2.8</v>
      </c>
      <c r="S138" s="17">
        <f t="shared" si="162"/>
        <v>-5.0999999999999996</v>
      </c>
      <c r="T138" s="17">
        <f t="shared" si="162"/>
        <v>-4.5999999999999996</v>
      </c>
      <c r="U138" s="17">
        <f t="shared" si="162"/>
        <v>-4.8</v>
      </c>
      <c r="V138" s="17">
        <f t="shared" si="162"/>
        <v>-3.1</v>
      </c>
      <c r="W138" s="17">
        <f t="shared" si="162"/>
        <v>-4.2</v>
      </c>
      <c r="X138" s="17">
        <f t="shared" si="162"/>
        <v>-1.5</v>
      </c>
      <c r="Y138" s="17">
        <f t="shared" si="162"/>
        <v>-1.4</v>
      </c>
    </row>
    <row r="139" spans="4:25" s="7" customFormat="1" ht="14.1" customHeight="1" thickBot="1" x14ac:dyDescent="0.3">
      <c r="D139" s="7" t="s">
        <v>177</v>
      </c>
      <c r="E139" s="24"/>
      <c r="G139" s="58" t="s">
        <v>142</v>
      </c>
      <c r="H139" s="41"/>
      <c r="I139" s="41"/>
      <c r="J139" s="41"/>
      <c r="L139" s="65">
        <f t="shared" ref="L139:V139" si="163">L84</f>
        <v>-18.8</v>
      </c>
      <c r="M139" s="65">
        <f t="shared" si="163"/>
        <v>-40.700000000000003</v>
      </c>
      <c r="N139" s="65">
        <f t="shared" si="163"/>
        <v>-32.9</v>
      </c>
      <c r="O139" s="65">
        <f t="shared" si="163"/>
        <v>-62.2</v>
      </c>
      <c r="P139" s="65">
        <f t="shared" si="163"/>
        <v>-25.8</v>
      </c>
      <c r="Q139" s="65">
        <f t="shared" si="163"/>
        <v>-39.1</v>
      </c>
      <c r="R139" s="65">
        <f t="shared" si="163"/>
        <v>-34.700000000000003</v>
      </c>
      <c r="S139" s="65">
        <f t="shared" si="163"/>
        <v>-56.3</v>
      </c>
      <c r="T139" s="65">
        <f t="shared" si="163"/>
        <v>-33.1</v>
      </c>
      <c r="U139" s="65">
        <f t="shared" si="163"/>
        <v>-36.6</v>
      </c>
      <c r="V139" s="65">
        <f t="shared" si="163"/>
        <v>-33.5</v>
      </c>
      <c r="W139" s="65">
        <f t="shared" ref="W139:X139" si="164">W84</f>
        <v>-64.400000000000006</v>
      </c>
      <c r="X139" s="65">
        <f t="shared" si="164"/>
        <v>-42.7</v>
      </c>
      <c r="Y139" s="65">
        <f t="shared" ref="Y139" si="165">Y84</f>
        <v>-43.5</v>
      </c>
    </row>
    <row r="140" spans="4:25" s="7" customFormat="1" ht="14.1" customHeight="1" thickBot="1" x14ac:dyDescent="0.3">
      <c r="D140" s="90" t="s">
        <v>170</v>
      </c>
      <c r="E140" s="93"/>
      <c r="F140" s="90"/>
      <c r="G140" s="91" t="s">
        <v>142</v>
      </c>
      <c r="H140" s="91"/>
      <c r="I140" s="91"/>
      <c r="J140" s="91"/>
      <c r="K140" s="90"/>
      <c r="L140" s="92">
        <f>SUM(L136:L139)</f>
        <v>-186.22499999999999</v>
      </c>
      <c r="M140" s="92">
        <f t="shared" ref="M140:T140" si="166">SUM(M136:M139)</f>
        <v>-212.97800000000001</v>
      </c>
      <c r="N140" s="92">
        <f t="shared" si="166"/>
        <v>-206.97500000000002</v>
      </c>
      <c r="O140" s="92">
        <f t="shared" si="166"/>
        <v>-234.76000000000005</v>
      </c>
      <c r="P140" s="92">
        <f t="shared" si="166"/>
        <v>-205.04</v>
      </c>
      <c r="Q140" s="92">
        <f t="shared" si="166"/>
        <v>-219.959</v>
      </c>
      <c r="R140" s="92">
        <f t="shared" si="166"/>
        <v>-209.524</v>
      </c>
      <c r="S140" s="92">
        <f t="shared" si="166"/>
        <v>-233.93399999999997</v>
      </c>
      <c r="T140" s="92">
        <f t="shared" si="166"/>
        <v>-219.12599999999998</v>
      </c>
      <c r="U140" s="92">
        <f t="shared" ref="U140:V140" si="167">SUM(U136:U139)</f>
        <v>-222.851</v>
      </c>
      <c r="V140" s="92">
        <f t="shared" si="167"/>
        <v>-214.113</v>
      </c>
      <c r="W140" s="92">
        <f t="shared" ref="W140:X140" si="168">SUM(W136:W139)</f>
        <v>-263.66200000000003</v>
      </c>
      <c r="X140" s="92">
        <f t="shared" si="168"/>
        <v>-239.33199999999999</v>
      </c>
      <c r="Y140" s="92">
        <f t="shared" ref="Y140" si="169">SUM(Y136:Y139)</f>
        <v>-238.91799999999998</v>
      </c>
    </row>
    <row r="141" spans="4:25" s="7" customFormat="1" ht="15" customHeight="1" x14ac:dyDescent="0.25">
      <c r="E141" s="32"/>
      <c r="G141" s="41"/>
      <c r="H141" s="41"/>
      <c r="I141" s="41"/>
      <c r="J141" s="41"/>
    </row>
    <row r="142" spans="4:25" s="68" customFormat="1" ht="11.1" customHeight="1" x14ac:dyDescent="0.2">
      <c r="D142" s="69" t="s">
        <v>163</v>
      </c>
      <c r="E142" s="67"/>
      <c r="G142" s="70"/>
      <c r="H142" s="70"/>
      <c r="I142" s="70"/>
      <c r="J142" s="70"/>
      <c r="L142" s="74"/>
      <c r="P142" s="74"/>
      <c r="Q142" s="74"/>
    </row>
    <row r="143" spans="4:25" s="68" customFormat="1" ht="11.1" customHeight="1" x14ac:dyDescent="0.25">
      <c r="D143" s="71" t="s">
        <v>415</v>
      </c>
      <c r="E143" s="67"/>
      <c r="G143" s="70"/>
      <c r="H143" s="70"/>
      <c r="I143" s="70"/>
      <c r="J143" s="70"/>
    </row>
    <row r="144" spans="4:25" s="68" customFormat="1" ht="11.1" customHeight="1" x14ac:dyDescent="0.25">
      <c r="D144" s="269" t="s">
        <v>420</v>
      </c>
      <c r="E144" s="67"/>
      <c r="G144" s="70"/>
      <c r="H144" s="70"/>
      <c r="I144" s="70"/>
      <c r="J144" s="70"/>
    </row>
    <row r="145" spans="4:29" s="68" customFormat="1" ht="11.1" customHeight="1" x14ac:dyDescent="0.25">
      <c r="D145" s="68" t="s">
        <v>164</v>
      </c>
      <c r="E145" s="67"/>
      <c r="G145" s="70"/>
      <c r="H145" s="70"/>
      <c r="I145" s="70"/>
      <c r="J145" s="70"/>
    </row>
    <row r="146" spans="4:29" s="68" customFormat="1" ht="11.1" customHeight="1" x14ac:dyDescent="0.25">
      <c r="E146" s="67"/>
      <c r="G146" s="70"/>
      <c r="H146" s="70"/>
      <c r="I146" s="70"/>
      <c r="J146" s="70"/>
    </row>
    <row r="147" spans="4:29" s="68" customFormat="1" ht="11.1" customHeight="1" x14ac:dyDescent="0.2">
      <c r="D147" s="69" t="s">
        <v>92</v>
      </c>
      <c r="E147" s="67"/>
      <c r="G147" s="70"/>
      <c r="H147" s="70"/>
      <c r="I147" s="70"/>
      <c r="J147" s="70"/>
    </row>
    <row r="148" spans="4:29" s="68" customFormat="1" ht="11.1" customHeight="1" x14ac:dyDescent="0.25">
      <c r="D148" s="68" t="s">
        <v>202</v>
      </c>
      <c r="G148" s="70"/>
      <c r="H148" s="70"/>
      <c r="I148" s="70"/>
      <c r="J148" s="70"/>
    </row>
    <row r="149" spans="4:29" s="68" customFormat="1" ht="11.1" customHeight="1" x14ac:dyDescent="0.25">
      <c r="D149" s="68" t="s">
        <v>238</v>
      </c>
      <c r="G149" s="70"/>
      <c r="H149" s="70"/>
      <c r="I149" s="70"/>
      <c r="J149" s="70"/>
      <c r="AC149" s="72"/>
    </row>
    <row r="150" spans="4:29" s="68" customFormat="1" ht="11.1" customHeight="1" x14ac:dyDescent="0.25">
      <c r="D150" s="68" t="s">
        <v>237</v>
      </c>
      <c r="G150" s="70"/>
      <c r="H150" s="70"/>
      <c r="I150" s="70"/>
      <c r="J150" s="70"/>
      <c r="AC150" s="72"/>
    </row>
    <row r="151" spans="4:29" s="68" customFormat="1" ht="11.1" customHeight="1" x14ac:dyDescent="0.25">
      <c r="D151" s="68" t="s">
        <v>428</v>
      </c>
      <c r="G151" s="70"/>
      <c r="H151" s="70"/>
      <c r="I151" s="70"/>
      <c r="J151" s="70"/>
      <c r="AC151" s="72"/>
    </row>
    <row r="152" spans="4:29" s="68" customFormat="1" ht="26.25" customHeight="1" x14ac:dyDescent="0.25">
      <c r="D152" s="308" t="s">
        <v>429</v>
      </c>
      <c r="E152" s="303"/>
      <c r="F152" s="303"/>
      <c r="G152" s="303"/>
      <c r="H152" s="303"/>
      <c r="I152" s="303"/>
      <c r="J152" s="303"/>
      <c r="K152" s="303"/>
      <c r="L152" s="303"/>
      <c r="M152" s="303"/>
      <c r="N152" s="303"/>
      <c r="O152" s="303"/>
      <c r="P152" s="303"/>
      <c r="Q152" s="303"/>
      <c r="R152" s="303"/>
      <c r="S152" s="303"/>
      <c r="T152" s="303"/>
      <c r="U152" s="303"/>
      <c r="V152" s="303"/>
      <c r="W152" s="303"/>
      <c r="X152" s="303"/>
      <c r="Y152" s="303"/>
      <c r="AC152" s="72"/>
    </row>
    <row r="153" spans="4:29" s="68" customFormat="1" ht="11.1" customHeight="1" x14ac:dyDescent="0.25">
      <c r="D153" s="68" t="s">
        <v>430</v>
      </c>
      <c r="G153" s="70"/>
      <c r="V153" s="72"/>
      <c r="W153" s="72"/>
      <c r="AC153" s="72"/>
    </row>
    <row r="154" spans="4:29" s="68" customFormat="1" ht="11.1" customHeight="1" x14ac:dyDescent="0.25">
      <c r="D154" s="304" t="s">
        <v>431</v>
      </c>
      <c r="E154" s="304"/>
      <c r="F154" s="304"/>
      <c r="G154" s="304"/>
      <c r="H154" s="304"/>
      <c r="I154" s="304"/>
      <c r="J154" s="304"/>
      <c r="K154" s="304"/>
      <c r="L154" s="304"/>
      <c r="M154" s="304"/>
      <c r="N154" s="304"/>
      <c r="O154" s="304"/>
      <c r="P154" s="304"/>
      <c r="Q154" s="304"/>
      <c r="R154" s="304"/>
      <c r="S154" s="304"/>
      <c r="T154" s="304"/>
      <c r="U154" s="304"/>
      <c r="V154" s="304"/>
      <c r="W154" s="304"/>
      <c r="AC154" s="72"/>
    </row>
    <row r="155" spans="4:29" s="68" customFormat="1" ht="11.1" customHeight="1" x14ac:dyDescent="0.25">
      <c r="D155" s="201" t="s">
        <v>432</v>
      </c>
      <c r="E155" s="201"/>
      <c r="G155" s="70"/>
      <c r="H155" s="70"/>
      <c r="I155" s="70"/>
      <c r="J155" s="70"/>
      <c r="AC155" s="72"/>
    </row>
    <row r="156" spans="4:29" s="68" customFormat="1" ht="11.1" customHeight="1" x14ac:dyDescent="0.25">
      <c r="D156" s="201" t="s">
        <v>433</v>
      </c>
      <c r="E156" s="201"/>
      <c r="G156" s="70"/>
      <c r="H156" s="70"/>
      <c r="I156" s="70"/>
      <c r="J156" s="70"/>
      <c r="AC156" s="72"/>
    </row>
    <row r="157" spans="4:29" s="68" customFormat="1" ht="11.1" customHeight="1" x14ac:dyDescent="0.25">
      <c r="D157" s="201" t="s">
        <v>434</v>
      </c>
      <c r="E157" s="201"/>
      <c r="G157" s="70"/>
      <c r="H157" s="70"/>
      <c r="I157" s="70"/>
      <c r="J157" s="70"/>
      <c r="AC157" s="72"/>
    </row>
    <row r="158" spans="4:29" s="68" customFormat="1" ht="11.1" customHeight="1" x14ac:dyDescent="0.25">
      <c r="D158" s="201" t="s">
        <v>435</v>
      </c>
      <c r="E158" s="201"/>
      <c r="G158" s="70"/>
      <c r="H158" s="70"/>
      <c r="I158" s="70"/>
      <c r="J158" s="70"/>
      <c r="AC158" s="72"/>
    </row>
    <row r="159" spans="4:29" s="7" customFormat="1" ht="12" customHeight="1" x14ac:dyDescent="0.25">
      <c r="D159" s="246"/>
      <c r="E159" s="199"/>
      <c r="F159" s="199"/>
      <c r="G159" s="199"/>
      <c r="H159" s="199"/>
      <c r="I159" s="199"/>
      <c r="J159" s="199"/>
      <c r="K159" s="199"/>
      <c r="L159" s="199"/>
      <c r="M159" s="199"/>
      <c r="N159" s="199"/>
      <c r="O159" s="199"/>
      <c r="P159" s="199"/>
      <c r="Q159" s="199"/>
      <c r="R159" s="199"/>
      <c r="S159" s="199"/>
      <c r="T159" s="199"/>
      <c r="U159" s="199"/>
      <c r="V159" s="199"/>
      <c r="W159" s="199"/>
      <c r="X159" s="199"/>
      <c r="Y159" s="199"/>
      <c r="AC159" s="46"/>
    </row>
  </sheetData>
  <mergeCells count="2">
    <mergeCell ref="D154:W154"/>
    <mergeCell ref="D152:Y152"/>
  </mergeCells>
  <pageMargins left="0.70866141732283472" right="0.70866141732283472" top="0.74803149606299213" bottom="0.74803149606299213" header="0.31496062992125984" footer="0.31496062992125984"/>
  <pageSetup paperSize="9" scale="52" fitToHeight="0" orientation="landscape" r:id="rId1"/>
  <headerFooter>
    <oddFooter>&amp;R&amp;P</oddFooter>
  </headerFooter>
  <rowBreaks count="2" manualBreakCount="2">
    <brk id="56" min="1" max="25" man="1"/>
    <brk id="98" min="1" max="25" man="1"/>
  </rowBreaks>
  <ignoredErrors>
    <ignoredError sqref="L23:V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R53"/>
  <sheetViews>
    <sheetView showGridLines="0" view="pageBreakPreview" zoomScaleNormal="115" zoomScaleSheetLayoutView="100" workbookViewId="0"/>
  </sheetViews>
  <sheetFormatPr defaultColWidth="9" defaultRowHeight="15" x14ac:dyDescent="0.25"/>
  <cols>
    <col min="1" max="1" width="2.28515625" customWidth="1"/>
    <col min="2" max="2" width="1.42578125" customWidth="1"/>
    <col min="3" max="3" width="35.7109375" customWidth="1"/>
    <col min="4" max="17" width="12.42578125" customWidth="1"/>
    <col min="18" max="18" width="1.5703125" customWidth="1"/>
  </cols>
  <sheetData>
    <row r="1" spans="3:18" ht="7.5" customHeight="1" x14ac:dyDescent="0.25">
      <c r="M1" s="132"/>
      <c r="N1" s="132"/>
      <c r="O1" s="132"/>
      <c r="P1" s="132"/>
      <c r="Q1" s="132"/>
    </row>
    <row r="2" spans="3:18" s="3" customFormat="1" ht="15.75" x14ac:dyDescent="0.25">
      <c r="C2" s="112" t="s">
        <v>337</v>
      </c>
      <c r="J2" s="77"/>
      <c r="M2" s="77"/>
      <c r="N2" s="77"/>
      <c r="O2" s="77"/>
      <c r="P2" s="77"/>
      <c r="Q2" s="77"/>
    </row>
    <row r="3" spans="3:18" s="4" customFormat="1" ht="21" customHeight="1" x14ac:dyDescent="0.2">
      <c r="C3" s="240" t="s">
        <v>289</v>
      </c>
      <c r="D3" s="218" t="s">
        <v>293</v>
      </c>
      <c r="E3" s="218" t="s">
        <v>293</v>
      </c>
      <c r="F3" s="218" t="s">
        <v>293</v>
      </c>
      <c r="G3" s="218" t="s">
        <v>293</v>
      </c>
      <c r="H3" s="218" t="s">
        <v>293</v>
      </c>
      <c r="I3" s="218" t="s">
        <v>293</v>
      </c>
      <c r="J3" s="218" t="s">
        <v>293</v>
      </c>
      <c r="K3" s="218" t="s">
        <v>293</v>
      </c>
      <c r="L3" s="218" t="s">
        <v>293</v>
      </c>
      <c r="M3" s="218" t="s">
        <v>293</v>
      </c>
      <c r="N3" s="218" t="s">
        <v>293</v>
      </c>
      <c r="O3" s="218" t="s">
        <v>293</v>
      </c>
      <c r="P3" s="218" t="s">
        <v>293</v>
      </c>
      <c r="Q3" s="218" t="s">
        <v>293</v>
      </c>
    </row>
    <row r="4" spans="3:18" s="4" customFormat="1" ht="9.9499999999999993" customHeight="1" x14ac:dyDescent="0.2">
      <c r="C4" s="220"/>
      <c r="D4" s="218"/>
      <c r="E4" s="218"/>
      <c r="F4" s="218"/>
      <c r="G4" s="218"/>
      <c r="H4" s="218"/>
      <c r="I4" s="218"/>
      <c r="J4" s="218"/>
      <c r="K4" s="218"/>
      <c r="L4" s="218"/>
      <c r="M4" s="218"/>
      <c r="N4" s="170"/>
      <c r="O4" s="170"/>
      <c r="P4" s="170"/>
      <c r="Q4" s="170"/>
    </row>
    <row r="5" spans="3:18" s="222" customFormat="1" ht="15" customHeight="1" x14ac:dyDescent="0.2">
      <c r="C5" s="221"/>
      <c r="D5" s="170" t="s">
        <v>62</v>
      </c>
      <c r="E5" s="170" t="s">
        <v>72</v>
      </c>
      <c r="F5" s="170" t="s">
        <v>71</v>
      </c>
      <c r="G5" s="170" t="s">
        <v>70</v>
      </c>
      <c r="H5" s="170" t="s">
        <v>66</v>
      </c>
      <c r="I5" s="170" t="s">
        <v>67</v>
      </c>
      <c r="J5" s="170" t="s">
        <v>68</v>
      </c>
      <c r="K5" s="170" t="s">
        <v>69</v>
      </c>
      <c r="L5" s="170" t="s">
        <v>65</v>
      </c>
      <c r="M5" s="170" t="s">
        <v>64</v>
      </c>
      <c r="N5" s="170" t="s">
        <v>63</v>
      </c>
      <c r="O5" s="170" t="s">
        <v>203</v>
      </c>
      <c r="P5" s="170" t="s">
        <v>279</v>
      </c>
      <c r="Q5" s="170" t="s">
        <v>409</v>
      </c>
      <c r="R5" s="213"/>
    </row>
    <row r="6" spans="3:18" s="4" customFormat="1" ht="13.5" thickBot="1" x14ac:dyDescent="0.25">
      <c r="C6" s="113" t="s">
        <v>16</v>
      </c>
      <c r="D6" s="114" t="s">
        <v>75</v>
      </c>
      <c r="E6" s="114" t="s">
        <v>76</v>
      </c>
      <c r="F6" s="114" t="s">
        <v>77</v>
      </c>
      <c r="G6" s="114" t="s">
        <v>78</v>
      </c>
      <c r="H6" s="114" t="s">
        <v>79</v>
      </c>
      <c r="I6" s="114" t="s">
        <v>80</v>
      </c>
      <c r="J6" s="114" t="s">
        <v>81</v>
      </c>
      <c r="K6" s="114" t="s">
        <v>82</v>
      </c>
      <c r="L6" s="114" t="s">
        <v>83</v>
      </c>
      <c r="M6" s="114" t="s">
        <v>84</v>
      </c>
      <c r="N6" s="114" t="s">
        <v>85</v>
      </c>
      <c r="O6" s="114" t="s">
        <v>204</v>
      </c>
      <c r="P6" s="114" t="s">
        <v>280</v>
      </c>
      <c r="Q6" s="114" t="s">
        <v>410</v>
      </c>
    </row>
    <row r="7" spans="3:18" ht="16.350000000000001" customHeight="1" thickTop="1" x14ac:dyDescent="0.25">
      <c r="C7" s="115" t="s">
        <v>0</v>
      </c>
      <c r="D7" s="116">
        <v>682.01548204898006</v>
      </c>
      <c r="E7" s="116">
        <v>698.33709725830761</v>
      </c>
      <c r="F7" s="116">
        <v>721.97923264021711</v>
      </c>
      <c r="G7" s="116">
        <v>724.68988624940414</v>
      </c>
      <c r="H7" s="116">
        <v>757.86863530400274</v>
      </c>
      <c r="I7" s="116">
        <v>765.7442663009931</v>
      </c>
      <c r="J7" s="116">
        <v>780.98375371937368</v>
      </c>
      <c r="K7" s="116">
        <v>785.37368682363069</v>
      </c>
      <c r="L7" s="116">
        <v>834.4303519900235</v>
      </c>
      <c r="M7" s="116">
        <v>849.08908567143794</v>
      </c>
      <c r="N7" s="116">
        <v>854.26887148183539</v>
      </c>
      <c r="O7" s="116">
        <v>870.22966843229926</v>
      </c>
      <c r="P7" s="116">
        <v>919.89702655751148</v>
      </c>
      <c r="Q7" s="116">
        <v>927.85240633803517</v>
      </c>
    </row>
    <row r="8" spans="3:18" ht="16.350000000000001" customHeight="1" x14ac:dyDescent="0.25">
      <c r="C8" s="117" t="s">
        <v>17</v>
      </c>
      <c r="D8" s="118">
        <v>-410.33776682346098</v>
      </c>
      <c r="E8" s="118">
        <v>-432.17422205790604</v>
      </c>
      <c r="F8" s="118">
        <v>-425.93595910353525</v>
      </c>
      <c r="G8" s="118">
        <v>-447.00873920013663</v>
      </c>
      <c r="H8" s="118">
        <v>-436.276945675192</v>
      </c>
      <c r="I8" s="118">
        <v>-443.44548825018677</v>
      </c>
      <c r="J8" s="118">
        <v>-448.8770685707151</v>
      </c>
      <c r="K8" s="118">
        <v>-467.54882565882247</v>
      </c>
      <c r="L8" s="118">
        <v>-466.60855953177179</v>
      </c>
      <c r="M8" s="118">
        <v>-476.6801885095976</v>
      </c>
      <c r="N8" s="118">
        <v>-466.51990656702793</v>
      </c>
      <c r="O8" s="118">
        <v>-501.23061788919063</v>
      </c>
      <c r="P8" s="118">
        <v>-511.27624718089913</v>
      </c>
      <c r="Q8" s="118">
        <v>-520.85190584760562</v>
      </c>
    </row>
    <row r="9" spans="3:18" ht="16.350000000000001" customHeight="1" thickBot="1" x14ac:dyDescent="0.3">
      <c r="C9" s="119" t="s">
        <v>18</v>
      </c>
      <c r="D9" s="120">
        <v>1.1327256167789339</v>
      </c>
      <c r="E9" s="120">
        <v>1.2958528188655141</v>
      </c>
      <c r="F9" s="120">
        <v>1.0756244731978419</v>
      </c>
      <c r="G9" s="120">
        <v>1.25258178483806</v>
      </c>
      <c r="H9" s="120">
        <v>1.1825536216282972</v>
      </c>
      <c r="I9" s="120">
        <v>0.99580122059021303</v>
      </c>
      <c r="J9" s="120">
        <v>0.94324417062632593</v>
      </c>
      <c r="K9" s="120">
        <v>1.1555026821754442</v>
      </c>
      <c r="L9" s="120">
        <v>1.098166268917288</v>
      </c>
      <c r="M9" s="120">
        <v>1.1385986883388168</v>
      </c>
      <c r="N9" s="120">
        <v>0.91630945538214503</v>
      </c>
      <c r="O9" s="120">
        <v>1.7604023027377931</v>
      </c>
      <c r="P9" s="120">
        <v>1.1168925074420351</v>
      </c>
      <c r="Q9" s="120">
        <v>1.1472411139140661</v>
      </c>
    </row>
    <row r="10" spans="3:18" ht="16.350000000000001" customHeight="1" x14ac:dyDescent="0.25">
      <c r="C10" s="121" t="s">
        <v>185</v>
      </c>
      <c r="D10" s="122">
        <v>272.81044084229802</v>
      </c>
      <c r="E10" s="122">
        <v>267.45872801926708</v>
      </c>
      <c r="F10" s="122">
        <v>297.11889800987962</v>
      </c>
      <c r="G10" s="122">
        <v>278.93372883410558</v>
      </c>
      <c r="H10" s="122">
        <v>322.7742432504391</v>
      </c>
      <c r="I10" s="122">
        <v>323.29457927139657</v>
      </c>
      <c r="J10" s="122">
        <v>333.04992931928496</v>
      </c>
      <c r="K10" s="122">
        <v>318.98036384698366</v>
      </c>
      <c r="L10" s="122">
        <v>368.91995872716899</v>
      </c>
      <c r="M10" s="122">
        <v>373.54749585017913</v>
      </c>
      <c r="N10" s="122">
        <v>388.66527437018965</v>
      </c>
      <c r="O10" s="122">
        <v>370.75945284584645</v>
      </c>
      <c r="P10" s="122">
        <v>409.73767188405441</v>
      </c>
      <c r="Q10" s="122">
        <v>408.14774160434354</v>
      </c>
    </row>
    <row r="11" spans="3:18" ht="16.350000000000001" customHeight="1" x14ac:dyDescent="0.25">
      <c r="C11" s="117" t="s">
        <v>290</v>
      </c>
      <c r="D11" s="123">
        <v>0.4</v>
      </c>
      <c r="E11" s="123">
        <v>0.38300000000000001</v>
      </c>
      <c r="F11" s="123">
        <v>0.41199999999999998</v>
      </c>
      <c r="G11" s="123">
        <v>0.38500000000000001</v>
      </c>
      <c r="H11" s="123">
        <v>0.42599999999999999</v>
      </c>
      <c r="I11" s="123">
        <v>0.42199999999999999</v>
      </c>
      <c r="J11" s="123">
        <v>0.42599999999999999</v>
      </c>
      <c r="K11" s="123">
        <v>0.40600000000000003</v>
      </c>
      <c r="L11" s="123">
        <v>0.442</v>
      </c>
      <c r="M11" s="123">
        <v>0.44</v>
      </c>
      <c r="N11" s="123">
        <v>0.45500000000000002</v>
      </c>
      <c r="O11" s="123">
        <v>0.42599999999999999</v>
      </c>
      <c r="P11" s="123">
        <v>0.44500000000000001</v>
      </c>
      <c r="Q11" s="123">
        <v>0.44</v>
      </c>
    </row>
    <row r="12" spans="3:18" ht="16.350000000000001" customHeight="1" x14ac:dyDescent="0.25">
      <c r="C12" s="117" t="s">
        <v>20</v>
      </c>
      <c r="D12" s="124">
        <v>-219.26699953791413</v>
      </c>
      <c r="E12" s="124">
        <v>-220.19544892648076</v>
      </c>
      <c r="F12" s="124">
        <v>-226.04856786321733</v>
      </c>
      <c r="G12" s="124">
        <v>-229.85916255422723</v>
      </c>
      <c r="H12" s="124">
        <v>-236.15332446403039</v>
      </c>
      <c r="I12" s="124">
        <v>-241.53480612802045</v>
      </c>
      <c r="J12" s="124">
        <v>-244.40952894823923</v>
      </c>
      <c r="K12" s="124">
        <v>-248.80683748308084</v>
      </c>
      <c r="L12" s="124">
        <v>-259.47495085580823</v>
      </c>
      <c r="M12" s="124">
        <v>-263.89799839191335</v>
      </c>
      <c r="N12" s="124">
        <v>-272.3849727769956</v>
      </c>
      <c r="O12" s="124">
        <v>-272.89137797127711</v>
      </c>
      <c r="P12" s="124">
        <v>-276.80937383450112</v>
      </c>
      <c r="Q12" s="124">
        <v>-280.22570384004166</v>
      </c>
    </row>
    <row r="13" spans="3:18" ht="16.350000000000001" customHeight="1" thickBot="1" x14ac:dyDescent="0.3">
      <c r="C13" s="125" t="s">
        <v>8</v>
      </c>
      <c r="D13" s="126">
        <v>-18.056116502530561</v>
      </c>
      <c r="E13" s="126">
        <v>-20.272574083187592</v>
      </c>
      <c r="F13" s="126">
        <v>-22.50514066648158</v>
      </c>
      <c r="G13" s="126">
        <v>-26.267700026462926</v>
      </c>
      <c r="H13" s="126">
        <v>-28.497372994164841</v>
      </c>
      <c r="I13" s="126">
        <v>-29.019457275503139</v>
      </c>
      <c r="J13" s="126">
        <v>-27.982370589478563</v>
      </c>
      <c r="K13" s="126">
        <v>-28.659338478217879</v>
      </c>
      <c r="L13" s="126">
        <v>-29.322115352207287</v>
      </c>
      <c r="M13" s="126">
        <v>-33.005183109199614</v>
      </c>
      <c r="N13" s="126">
        <v>-29.868608465226906</v>
      </c>
      <c r="O13" s="126">
        <v>-33.621291495981197</v>
      </c>
      <c r="P13" s="126">
        <v>-31.978994252644089</v>
      </c>
      <c r="Q13" s="126">
        <v>-31.144660001291815</v>
      </c>
    </row>
    <row r="14" spans="3:18" ht="16.350000000000001" customHeight="1" x14ac:dyDescent="0.25">
      <c r="C14" s="127" t="s">
        <v>217</v>
      </c>
      <c r="D14" s="130">
        <v>35.48732480185339</v>
      </c>
      <c r="E14" s="130">
        <v>26.990605009598745</v>
      </c>
      <c r="F14" s="130">
        <v>48.566189480180768</v>
      </c>
      <c r="G14" s="130">
        <v>22.805866253415413</v>
      </c>
      <c r="H14" s="130">
        <v>58.123545792243881</v>
      </c>
      <c r="I14" s="130">
        <v>52.741115867872971</v>
      </c>
      <c r="J14" s="130">
        <v>60.659529781567223</v>
      </c>
      <c r="K14" s="130">
        <v>41.513687885684924</v>
      </c>
      <c r="L14" s="130">
        <v>80.122892519153424</v>
      </c>
      <c r="M14" s="130">
        <v>76.643314349066145</v>
      </c>
      <c r="N14" s="130">
        <v>86.41269312796716</v>
      </c>
      <c r="O14" s="130">
        <v>64.245583378588165</v>
      </c>
      <c r="P14" s="130">
        <v>100.9503037969092</v>
      </c>
      <c r="Q14" s="130">
        <v>96.777377763010037</v>
      </c>
    </row>
    <row r="15" spans="3:18" ht="16.350000000000001" customHeight="1" x14ac:dyDescent="0.25">
      <c r="C15" s="117" t="s">
        <v>218</v>
      </c>
      <c r="D15" s="123">
        <v>5.1999999999999998E-2</v>
      </c>
      <c r="E15" s="123">
        <v>3.9E-2</v>
      </c>
      <c r="F15" s="123">
        <v>6.7000000000000004E-2</v>
      </c>
      <c r="G15" s="123">
        <v>3.1E-2</v>
      </c>
      <c r="H15" s="123">
        <v>7.6999999999999999E-2</v>
      </c>
      <c r="I15" s="123">
        <v>6.9000000000000006E-2</v>
      </c>
      <c r="J15" s="123">
        <v>7.8E-2</v>
      </c>
      <c r="K15" s="123">
        <v>5.2999999999999999E-2</v>
      </c>
      <c r="L15" s="123">
        <v>9.6000000000000002E-2</v>
      </c>
      <c r="M15" s="123">
        <v>0.09</v>
      </c>
      <c r="N15" s="123">
        <v>0.10100000000000001</v>
      </c>
      <c r="O15" s="123">
        <v>7.3999999999999996E-2</v>
      </c>
      <c r="P15" s="123">
        <v>0.11</v>
      </c>
      <c r="Q15" s="123">
        <v>0.104</v>
      </c>
    </row>
    <row r="16" spans="3:18" ht="16.350000000000001" customHeight="1" x14ac:dyDescent="0.25">
      <c r="C16" s="117" t="s">
        <v>21</v>
      </c>
      <c r="D16" s="210">
        <v>-74.429815380647739</v>
      </c>
      <c r="E16" s="210">
        <v>-74.938010189557247</v>
      </c>
      <c r="F16" s="210">
        <v>-76.542779981465102</v>
      </c>
      <c r="G16" s="210">
        <v>-90.900161228957657</v>
      </c>
      <c r="H16" s="210">
        <v>-104.44851889214677</v>
      </c>
      <c r="I16" s="210">
        <v>-113.21896753225148</v>
      </c>
      <c r="J16" s="210">
        <v>-116.42504314010812</v>
      </c>
      <c r="K16" s="210">
        <v>-115.92322231861833</v>
      </c>
      <c r="L16" s="210">
        <v>-117.21728189265208</v>
      </c>
      <c r="M16" s="210">
        <v>-119.53043883880584</v>
      </c>
      <c r="N16" s="210">
        <v>-118.85743036861977</v>
      </c>
      <c r="O16" s="210">
        <v>-114.31888623455067</v>
      </c>
      <c r="P16" s="210">
        <v>-107.6015888460305</v>
      </c>
      <c r="Q16" s="210">
        <v>-103.70100454569399</v>
      </c>
    </row>
    <row r="17" spans="3:17" ht="16.350000000000001" customHeight="1" thickBot="1" x14ac:dyDescent="0.3">
      <c r="C17" s="119" t="s">
        <v>22</v>
      </c>
      <c r="D17" s="133">
        <v>21.194830705097058</v>
      </c>
      <c r="E17" s="133">
        <v>-17.972282350678629</v>
      </c>
      <c r="F17" s="133">
        <v>-6.4747289338873291</v>
      </c>
      <c r="G17" s="133">
        <v>-16.713057652246199</v>
      </c>
      <c r="H17" s="133">
        <v>-27.668954734143121</v>
      </c>
      <c r="I17" s="133">
        <v>18.404329205066318</v>
      </c>
      <c r="J17" s="133">
        <v>-14.800933998868899</v>
      </c>
      <c r="K17" s="133">
        <v>-59.592149221422808</v>
      </c>
      <c r="L17" s="133">
        <v>21.951940579878393</v>
      </c>
      <c r="M17" s="133">
        <v>-7.2882459389084904</v>
      </c>
      <c r="N17" s="133">
        <v>-29.584091856030202</v>
      </c>
      <c r="O17" s="133">
        <v>-10.681083820419001</v>
      </c>
      <c r="P17" s="133">
        <v>-23.34693906194347</v>
      </c>
      <c r="Q17" s="133">
        <v>-22.144853894116732</v>
      </c>
    </row>
    <row r="18" spans="3:17" ht="16.350000000000001" customHeight="1" x14ac:dyDescent="0.25">
      <c r="C18" s="129" t="s">
        <v>58</v>
      </c>
      <c r="D18" s="130">
        <v>-17.748159873697286</v>
      </c>
      <c r="E18" s="130">
        <v>-65.919287530637149</v>
      </c>
      <c r="F18" s="130">
        <v>-34.452319435171674</v>
      </c>
      <c r="G18" s="130">
        <v>-84.807352627788433</v>
      </c>
      <c r="H18" s="130">
        <v>-73.994427834046007</v>
      </c>
      <c r="I18" s="130">
        <v>-42.073522459312194</v>
      </c>
      <c r="J18" s="130">
        <v>-70.5664473574098</v>
      </c>
      <c r="K18" s="130">
        <v>-134.00168365435621</v>
      </c>
      <c r="L18" s="130">
        <v>-15.141448793620272</v>
      </c>
      <c r="M18" s="130">
        <v>-50.175370428648172</v>
      </c>
      <c r="N18" s="130">
        <v>-62.028829096682813</v>
      </c>
      <c r="O18" s="130">
        <v>-60.754386676381507</v>
      </c>
      <c r="P18" s="130">
        <v>-29.999224111064773</v>
      </c>
      <c r="Q18" s="130">
        <v>-29.068480676800675</v>
      </c>
    </row>
    <row r="19" spans="3:17" ht="16.350000000000001" customHeight="1" thickBot="1" x14ac:dyDescent="0.3">
      <c r="C19" s="117" t="s">
        <v>414</v>
      </c>
      <c r="D19" s="210">
        <v>2.9699502278802861</v>
      </c>
      <c r="E19" s="210">
        <v>-11.798590388767039</v>
      </c>
      <c r="F19" s="210">
        <v>-8.7640166325350251</v>
      </c>
      <c r="G19" s="210">
        <v>-16.942646364831575</v>
      </c>
      <c r="H19" s="210">
        <v>12.441183637100607</v>
      </c>
      <c r="I19" s="210">
        <v>4.7839718156560949</v>
      </c>
      <c r="J19" s="210">
        <v>14.949612515037003</v>
      </c>
      <c r="K19" s="210">
        <v>10.510650293949212</v>
      </c>
      <c r="L19" s="210">
        <v>-3.6885593098797305</v>
      </c>
      <c r="M19" s="210">
        <v>-12.913518345424123</v>
      </c>
      <c r="N19" s="210">
        <v>14.830814189125618</v>
      </c>
      <c r="O19" s="210">
        <v>4.964372755747803</v>
      </c>
      <c r="P19" s="210">
        <v>-13.348694749148127</v>
      </c>
      <c r="Q19" s="210">
        <v>-14.378400925074423</v>
      </c>
    </row>
    <row r="20" spans="3:17" ht="16.350000000000001" customHeight="1" x14ac:dyDescent="0.25">
      <c r="C20" s="129" t="s">
        <v>413</v>
      </c>
      <c r="D20" s="130">
        <v>-14.778209645817</v>
      </c>
      <c r="E20" s="130">
        <v>-77.717877919404188</v>
      </c>
      <c r="F20" s="130">
        <v>-43.216336067706699</v>
      </c>
      <c r="G20" s="130">
        <v>-101.74999899262001</v>
      </c>
      <c r="H20" s="130">
        <v>-61.5532441969454</v>
      </c>
      <c r="I20" s="130">
        <v>-37.289550643656099</v>
      </c>
      <c r="J20" s="130">
        <v>-55.616834842372796</v>
      </c>
      <c r="K20" s="130">
        <v>-123.491033360407</v>
      </c>
      <c r="L20" s="130">
        <v>-18.830008103500003</v>
      </c>
      <c r="M20" s="130">
        <v>-63.088888774072295</v>
      </c>
      <c r="N20" s="130">
        <v>-47.198014907557194</v>
      </c>
      <c r="O20" s="130">
        <v>-55.790013920633704</v>
      </c>
      <c r="P20" s="130">
        <v>-43.3479188602129</v>
      </c>
      <c r="Q20" s="130">
        <v>-43.446881601875099</v>
      </c>
    </row>
    <row r="21" spans="3:17" ht="16.350000000000001" customHeight="1" x14ac:dyDescent="0.25">
      <c r="D21" s="280"/>
      <c r="E21" s="280"/>
      <c r="F21" s="280"/>
      <c r="G21" s="280"/>
      <c r="H21" s="280"/>
      <c r="I21" s="280"/>
      <c r="J21" s="280"/>
      <c r="K21" s="280"/>
      <c r="L21" s="280"/>
      <c r="M21" s="280"/>
      <c r="N21" s="280"/>
      <c r="O21" s="280"/>
      <c r="P21" s="280"/>
      <c r="Q21" s="280"/>
    </row>
    <row r="22" spans="3:17" ht="15.75" x14ac:dyDescent="0.25">
      <c r="C22" s="112" t="s">
        <v>427</v>
      </c>
    </row>
    <row r="24" spans="3:17" x14ac:dyDescent="0.25">
      <c r="D24" s="170" t="s">
        <v>62</v>
      </c>
      <c r="E24" s="170" t="s">
        <v>72</v>
      </c>
      <c r="F24" s="170" t="s">
        <v>71</v>
      </c>
      <c r="G24" s="170" t="s">
        <v>70</v>
      </c>
      <c r="H24" s="170" t="s">
        <v>66</v>
      </c>
      <c r="I24" s="170" t="s">
        <v>67</v>
      </c>
      <c r="J24" s="170" t="s">
        <v>68</v>
      </c>
      <c r="K24" s="170" t="s">
        <v>69</v>
      </c>
      <c r="L24" s="170" t="s">
        <v>65</v>
      </c>
      <c r="M24" s="170" t="s">
        <v>64</v>
      </c>
      <c r="N24" s="170" t="s">
        <v>63</v>
      </c>
      <c r="O24" s="170" t="s">
        <v>203</v>
      </c>
      <c r="P24" s="170" t="s">
        <v>279</v>
      </c>
      <c r="Q24" s="170" t="s">
        <v>409</v>
      </c>
    </row>
    <row r="25" spans="3:17" ht="15.75" thickBot="1" x14ac:dyDescent="0.3">
      <c r="C25" s="113" t="s">
        <v>16</v>
      </c>
      <c r="D25" s="114" t="s">
        <v>75</v>
      </c>
      <c r="E25" s="114" t="s">
        <v>76</v>
      </c>
      <c r="F25" s="114" t="s">
        <v>77</v>
      </c>
      <c r="G25" s="114" t="s">
        <v>78</v>
      </c>
      <c r="H25" s="114" t="s">
        <v>79</v>
      </c>
      <c r="I25" s="114" t="s">
        <v>80</v>
      </c>
      <c r="J25" s="114" t="s">
        <v>81</v>
      </c>
      <c r="K25" s="114" t="s">
        <v>82</v>
      </c>
      <c r="L25" s="114" t="s">
        <v>83</v>
      </c>
      <c r="M25" s="114" t="s">
        <v>84</v>
      </c>
      <c r="N25" s="114" t="s">
        <v>85</v>
      </c>
      <c r="O25" s="114" t="s">
        <v>204</v>
      </c>
      <c r="P25" s="114" t="s">
        <v>280</v>
      </c>
      <c r="Q25" s="114" t="s">
        <v>410</v>
      </c>
    </row>
    <row r="26" spans="3:17" ht="16.350000000000001" customHeight="1" thickTop="1" x14ac:dyDescent="0.25">
      <c r="C26" s="115" t="s">
        <v>0</v>
      </c>
      <c r="D26" s="116">
        <f>+D7</f>
        <v>682.01548204898006</v>
      </c>
      <c r="E26" s="116">
        <f t="shared" ref="E26:P26" si="0">+E7</f>
        <v>698.33709725830761</v>
      </c>
      <c r="F26" s="116">
        <f t="shared" si="0"/>
        <v>721.97923264021711</v>
      </c>
      <c r="G26" s="116">
        <f t="shared" si="0"/>
        <v>724.68988624940414</v>
      </c>
      <c r="H26" s="116">
        <f t="shared" si="0"/>
        <v>757.86863530400274</v>
      </c>
      <c r="I26" s="116">
        <f t="shared" si="0"/>
        <v>765.7442663009931</v>
      </c>
      <c r="J26" s="116">
        <f t="shared" si="0"/>
        <v>780.98375371937368</v>
      </c>
      <c r="K26" s="116">
        <f t="shared" si="0"/>
        <v>785.37368682363069</v>
      </c>
      <c r="L26" s="116">
        <f t="shared" si="0"/>
        <v>834.4303519900235</v>
      </c>
      <c r="M26" s="116">
        <f t="shared" si="0"/>
        <v>849.08908567143794</v>
      </c>
      <c r="N26" s="116">
        <f t="shared" si="0"/>
        <v>854.26887148183539</v>
      </c>
      <c r="O26" s="116">
        <f t="shared" si="0"/>
        <v>870.22966843229926</v>
      </c>
      <c r="P26" s="116">
        <f t="shared" si="0"/>
        <v>919.89702655751148</v>
      </c>
      <c r="Q26" s="116">
        <v>927.85240633803517</v>
      </c>
    </row>
    <row r="27" spans="3:17" ht="16.350000000000001" customHeight="1" x14ac:dyDescent="0.25">
      <c r="C27" s="117" t="s">
        <v>17</v>
      </c>
      <c r="D27" s="118">
        <v>-410.33776682346098</v>
      </c>
      <c r="E27" s="118">
        <v>-432.17422205790604</v>
      </c>
      <c r="F27" s="118">
        <v>-425.93595910353525</v>
      </c>
      <c r="G27" s="118">
        <v>-447.00873920013663</v>
      </c>
      <c r="H27" s="118">
        <v>-436.276945675192</v>
      </c>
      <c r="I27" s="118">
        <v>-443.44548825018677</v>
      </c>
      <c r="J27" s="118">
        <v>-448.8770685707151</v>
      </c>
      <c r="K27" s="118">
        <v>-467.54882565882247</v>
      </c>
      <c r="L27" s="118">
        <v>-466.60855953177179</v>
      </c>
      <c r="M27" s="118">
        <v>-476.6801885095976</v>
      </c>
      <c r="N27" s="118">
        <v>-466.51990656702793</v>
      </c>
      <c r="O27" s="118">
        <v>-501.23061788919063</v>
      </c>
      <c r="P27" s="118">
        <v>-511.27624718089913</v>
      </c>
      <c r="Q27" s="118">
        <v>-520.85190584760562</v>
      </c>
    </row>
    <row r="28" spans="3:17" ht="16.350000000000001" customHeight="1" x14ac:dyDescent="0.25">
      <c r="C28" s="117" t="s">
        <v>338</v>
      </c>
      <c r="D28" s="118">
        <v>3.5129999999999999</v>
      </c>
      <c r="E28" s="118">
        <v>8.7499233316361256</v>
      </c>
      <c r="F28" s="118">
        <v>5.0396826179727441</v>
      </c>
      <c r="G28" s="118">
        <v>18.185560703042768</v>
      </c>
      <c r="H28" s="118">
        <v>5.0281632274880508</v>
      </c>
      <c r="I28" s="118">
        <v>7.38601947772014</v>
      </c>
      <c r="J28" s="118">
        <v>10.656883502456139</v>
      </c>
      <c r="K28" s="118">
        <v>19.386069528333167</v>
      </c>
      <c r="L28" s="118">
        <v>5.8011668808727563</v>
      </c>
      <c r="M28" s="118">
        <v>7.4688861621243632</v>
      </c>
      <c r="N28" s="118">
        <v>7.8195454457176652</v>
      </c>
      <c r="O28" s="118">
        <v>11.059886030679309</v>
      </c>
      <c r="P28" s="118">
        <v>9.0176634433478853</v>
      </c>
      <c r="Q28" s="118">
        <v>17.852229603017857</v>
      </c>
    </row>
    <row r="29" spans="3:17" ht="16.350000000000001" customHeight="1" thickBot="1" x14ac:dyDescent="0.3">
      <c r="C29" s="119" t="s">
        <v>18</v>
      </c>
      <c r="D29" s="120">
        <v>1.1327256167789339</v>
      </c>
      <c r="E29" s="120">
        <v>1.2958528188655141</v>
      </c>
      <c r="F29" s="120">
        <v>1.0756244731978419</v>
      </c>
      <c r="G29" s="120">
        <v>1.25258178483806</v>
      </c>
      <c r="H29" s="120">
        <v>1.1825536216282972</v>
      </c>
      <c r="I29" s="120">
        <v>0.99580122059021303</v>
      </c>
      <c r="J29" s="120">
        <v>0.94324417062632593</v>
      </c>
      <c r="K29" s="120">
        <v>1.1555026821754442</v>
      </c>
      <c r="L29" s="120">
        <v>1.098166268917288</v>
      </c>
      <c r="M29" s="120">
        <v>1.1385986883388168</v>
      </c>
      <c r="N29" s="120">
        <v>0.91630945538214503</v>
      </c>
      <c r="O29" s="120">
        <v>1.7604023027377931</v>
      </c>
      <c r="P29" s="120">
        <v>1.1168925074420351</v>
      </c>
      <c r="Q29" s="120">
        <v>1.1472411139140661</v>
      </c>
    </row>
    <row r="30" spans="3:17" ht="16.350000000000001" customHeight="1" x14ac:dyDescent="0.25">
      <c r="C30" s="121" t="s">
        <v>1</v>
      </c>
      <c r="D30" s="122">
        <v>276.323440842298</v>
      </c>
      <c r="E30" s="122">
        <v>276.20865135090321</v>
      </c>
      <c r="F30" s="122">
        <v>302.15858062785242</v>
      </c>
      <c r="G30" s="122">
        <v>297.11928953714835</v>
      </c>
      <c r="H30" s="122">
        <v>327.80240647792709</v>
      </c>
      <c r="I30" s="122">
        <v>330.68059874911671</v>
      </c>
      <c r="J30" s="122">
        <v>343.70681282174104</v>
      </c>
      <c r="K30" s="122">
        <v>338.36643337531683</v>
      </c>
      <c r="L30" s="122">
        <v>374.72112560804175</v>
      </c>
      <c r="M30" s="122">
        <v>381.0163820123035</v>
      </c>
      <c r="N30" s="122">
        <v>396.48481981590726</v>
      </c>
      <c r="O30" s="122">
        <v>381.81933887652576</v>
      </c>
      <c r="P30" s="122">
        <v>418.75533532740229</v>
      </c>
      <c r="Q30" s="122">
        <v>425.99997120736145</v>
      </c>
    </row>
    <row r="31" spans="3:17" ht="16.350000000000001" customHeight="1" x14ac:dyDescent="0.25">
      <c r="C31" s="117" t="s">
        <v>19</v>
      </c>
      <c r="D31" s="123">
        <v>0.40500000000000003</v>
      </c>
      <c r="E31" s="123">
        <v>0.39600000000000002</v>
      </c>
      <c r="F31" s="123">
        <v>0.41899999999999998</v>
      </c>
      <c r="G31" s="123">
        <v>0.41</v>
      </c>
      <c r="H31" s="123">
        <v>0.433</v>
      </c>
      <c r="I31" s="123">
        <v>0.432</v>
      </c>
      <c r="J31" s="123">
        <v>0.44</v>
      </c>
      <c r="K31" s="123">
        <v>0.43099999999999999</v>
      </c>
      <c r="L31" s="123">
        <v>0.44900000000000001</v>
      </c>
      <c r="M31" s="123">
        <v>0.44900000000000001</v>
      </c>
      <c r="N31" s="123">
        <v>0.46400000000000002</v>
      </c>
      <c r="O31" s="123">
        <v>0.439</v>
      </c>
      <c r="P31" s="123">
        <v>0.45500000000000002</v>
      </c>
      <c r="Q31" s="123">
        <v>0.45900000000000002</v>
      </c>
    </row>
    <row r="32" spans="3:17" ht="16.350000000000001" customHeight="1" x14ac:dyDescent="0.25">
      <c r="C32" s="117" t="s">
        <v>20</v>
      </c>
      <c r="D32" s="124">
        <f>+D12-D38</f>
        <v>-123.91099953791414</v>
      </c>
      <c r="E32" s="124">
        <f t="shared" ref="E32:P32" si="1">+E12-E38</f>
        <v>-119.02044892648075</v>
      </c>
      <c r="F32" s="124">
        <f t="shared" si="1"/>
        <v>-120.52156786321734</v>
      </c>
      <c r="G32" s="124">
        <f t="shared" si="1"/>
        <v>-124.42116255422724</v>
      </c>
      <c r="H32" s="124">
        <f t="shared" si="1"/>
        <v>-128.79932446403041</v>
      </c>
      <c r="I32" s="124">
        <f t="shared" si="1"/>
        <v>-132.51880612802046</v>
      </c>
      <c r="J32" s="124">
        <f t="shared" si="1"/>
        <v>-134.01552894823922</v>
      </c>
      <c r="K32" s="124">
        <f t="shared" si="1"/>
        <v>-137.09683748308086</v>
      </c>
      <c r="L32" s="124">
        <f t="shared" si="1"/>
        <v>-141.53195085580825</v>
      </c>
      <c r="M32" s="124">
        <f t="shared" si="1"/>
        <v>-145.04499839191334</v>
      </c>
      <c r="N32" s="124">
        <f t="shared" si="1"/>
        <v>-153.99497277699561</v>
      </c>
      <c r="O32" s="124">
        <f t="shared" si="1"/>
        <v>-152.59337797127711</v>
      </c>
      <c r="P32" s="124">
        <f t="shared" si="1"/>
        <v>-156.14137383450111</v>
      </c>
      <c r="Q32" s="124">
        <v>-158.89889494128559</v>
      </c>
    </row>
    <row r="33" spans="3:18" ht="16.350000000000001" customHeight="1" thickBot="1" x14ac:dyDescent="0.3">
      <c r="C33" s="125" t="s">
        <v>8</v>
      </c>
      <c r="D33" s="126">
        <v>-18.056000000000001</v>
      </c>
      <c r="E33" s="126">
        <v>-20.273</v>
      </c>
      <c r="F33" s="126">
        <v>-22.504999999999999</v>
      </c>
      <c r="G33" s="126">
        <v>-26.268000000000001</v>
      </c>
      <c r="H33" s="126">
        <v>-28.497</v>
      </c>
      <c r="I33" s="126">
        <v>-29.018999999999998</v>
      </c>
      <c r="J33" s="126">
        <v>-27.981999999999999</v>
      </c>
      <c r="K33" s="126">
        <v>-28.658999999999999</v>
      </c>
      <c r="L33" s="126">
        <v>-29.321999999999999</v>
      </c>
      <c r="M33" s="126">
        <v>-28.994</v>
      </c>
      <c r="N33" s="126">
        <v>-29.869</v>
      </c>
      <c r="O33" s="126">
        <v>-33.621000000000002</v>
      </c>
      <c r="P33" s="126">
        <v>-31.978999999999999</v>
      </c>
      <c r="Q33" s="126">
        <v>-31.144660001291815</v>
      </c>
    </row>
    <row r="34" spans="3:18" ht="16.350000000000001" customHeight="1" x14ac:dyDescent="0.25">
      <c r="C34" s="250" t="s">
        <v>242</v>
      </c>
      <c r="D34" s="251">
        <v>134.35644130438385</v>
      </c>
      <c r="E34" s="251">
        <v>136.91520242442246</v>
      </c>
      <c r="F34" s="251">
        <v>159.13201276463508</v>
      </c>
      <c r="G34" s="251">
        <v>146.43012698292111</v>
      </c>
      <c r="H34" s="251">
        <v>170.50608201389667</v>
      </c>
      <c r="I34" s="251">
        <v>169.14279262109625</v>
      </c>
      <c r="J34" s="251">
        <v>181.70928387350182</v>
      </c>
      <c r="K34" s="251">
        <v>172.61059589223598</v>
      </c>
      <c r="L34" s="251">
        <v>203.8671747522335</v>
      </c>
      <c r="M34" s="251">
        <v>206.97738362039016</v>
      </c>
      <c r="N34" s="251">
        <v>212.62084703891165</v>
      </c>
      <c r="O34" s="251">
        <v>195.60496090524865</v>
      </c>
      <c r="P34" s="251">
        <v>230.6349614929012</v>
      </c>
      <c r="Q34" s="251">
        <v>235.95641626478405</v>
      </c>
    </row>
    <row r="35" spans="3:18" ht="16.350000000000001" customHeight="1" x14ac:dyDescent="0.25">
      <c r="C35" s="117" t="s">
        <v>332</v>
      </c>
      <c r="D35" s="123">
        <v>0.19700000000000001</v>
      </c>
      <c r="E35" s="123">
        <v>0.19600000000000001</v>
      </c>
      <c r="F35" s="123">
        <v>0.22</v>
      </c>
      <c r="G35" s="123">
        <v>0.20200000000000001</v>
      </c>
      <c r="H35" s="123">
        <v>0.22500000000000001</v>
      </c>
      <c r="I35" s="123">
        <v>0.221</v>
      </c>
      <c r="J35" s="123">
        <v>0.23300000000000001</v>
      </c>
      <c r="K35" s="123">
        <v>0.22</v>
      </c>
      <c r="L35" s="123">
        <v>0.24399999999999999</v>
      </c>
      <c r="M35" s="123">
        <v>0.24399999999999999</v>
      </c>
      <c r="N35" s="123">
        <v>0.249</v>
      </c>
      <c r="O35" s="123">
        <v>0.22500000000000001</v>
      </c>
      <c r="P35" s="123">
        <v>0.251</v>
      </c>
      <c r="Q35" s="123">
        <v>0.254</v>
      </c>
    </row>
    <row r="36" spans="3:18" ht="16.350000000000001" customHeight="1" x14ac:dyDescent="0.25">
      <c r="C36" s="76" t="s">
        <v>339</v>
      </c>
      <c r="D36" s="124">
        <v>-3.5129999999999999</v>
      </c>
      <c r="E36" s="124">
        <v>-8.7499233316361256</v>
      </c>
      <c r="F36" s="124">
        <v>-5.0396826179727441</v>
      </c>
      <c r="G36" s="124">
        <v>-18.185560703042768</v>
      </c>
      <c r="H36" s="124">
        <v>-5.0281632274880508</v>
      </c>
      <c r="I36" s="124">
        <v>-7.38601947772014</v>
      </c>
      <c r="J36" s="124">
        <v>-10.656883502456139</v>
      </c>
      <c r="K36" s="124">
        <v>-19.386069528333167</v>
      </c>
      <c r="L36" s="124">
        <v>-5.8011668808727563</v>
      </c>
      <c r="M36" s="124">
        <v>-7.4688861621243632</v>
      </c>
      <c r="N36" s="124">
        <v>-7.8195454457176652</v>
      </c>
      <c r="O36" s="124">
        <v>-11.059886030679309</v>
      </c>
      <c r="P36" s="124">
        <v>-9.0176634433478853</v>
      </c>
      <c r="Q36" s="124">
        <v>-17.852229603017857</v>
      </c>
    </row>
    <row r="37" spans="3:18" ht="16.350000000000001" customHeight="1" x14ac:dyDescent="0.25">
      <c r="C37" s="76" t="s">
        <v>340</v>
      </c>
      <c r="D37" s="118">
        <v>0</v>
      </c>
      <c r="E37" s="118">
        <v>0</v>
      </c>
      <c r="F37" s="118">
        <v>0</v>
      </c>
      <c r="G37" s="118">
        <v>0</v>
      </c>
      <c r="H37" s="118">
        <v>0</v>
      </c>
      <c r="I37" s="118">
        <v>0</v>
      </c>
      <c r="J37" s="118">
        <v>0</v>
      </c>
      <c r="K37" s="118">
        <v>0</v>
      </c>
      <c r="L37" s="118">
        <v>0</v>
      </c>
      <c r="M37" s="118">
        <v>-4.0110000000000001</v>
      </c>
      <c r="N37" s="118">
        <v>0</v>
      </c>
      <c r="O37" s="118">
        <v>0</v>
      </c>
      <c r="P37" s="118">
        <v>0</v>
      </c>
      <c r="Q37" s="118">
        <v>0</v>
      </c>
    </row>
    <row r="38" spans="3:18" ht="16.350000000000001" customHeight="1" thickBot="1" x14ac:dyDescent="0.3">
      <c r="C38" s="117" t="s">
        <v>341</v>
      </c>
      <c r="D38" s="124">
        <v>-95.355999999999995</v>
      </c>
      <c r="E38" s="124">
        <v>-101.17500000000001</v>
      </c>
      <c r="F38" s="124">
        <v>-105.52699999999999</v>
      </c>
      <c r="G38" s="124">
        <v>-105.43799999999999</v>
      </c>
      <c r="H38" s="124">
        <v>-107.354</v>
      </c>
      <c r="I38" s="124">
        <v>-109.01600000000001</v>
      </c>
      <c r="J38" s="124">
        <v>-110.39400000000001</v>
      </c>
      <c r="K38" s="124">
        <v>-111.70999999999998</v>
      </c>
      <c r="L38" s="124">
        <v>-117.943</v>
      </c>
      <c r="M38" s="124">
        <v>-118.85299999999999</v>
      </c>
      <c r="N38" s="124">
        <v>-118.38999999999999</v>
      </c>
      <c r="O38" s="124">
        <v>-120.298</v>
      </c>
      <c r="P38" s="124">
        <v>-120.66800000000001</v>
      </c>
      <c r="Q38" s="124">
        <v>-121.32680889875616</v>
      </c>
    </row>
    <row r="39" spans="3:18" ht="16.350000000000001" customHeight="1" x14ac:dyDescent="0.25">
      <c r="C39" s="127" t="s">
        <v>217</v>
      </c>
      <c r="D39" s="130">
        <f t="shared" ref="D39:Q39" si="2">+ROUND(D34+SUM(D36:D38),3)</f>
        <v>35.487000000000002</v>
      </c>
      <c r="E39" s="130">
        <f t="shared" si="2"/>
        <v>26.99</v>
      </c>
      <c r="F39" s="130">
        <f t="shared" si="2"/>
        <v>48.564999999999998</v>
      </c>
      <c r="G39" s="130">
        <f t="shared" si="2"/>
        <v>22.806999999999999</v>
      </c>
      <c r="H39" s="130">
        <f t="shared" si="2"/>
        <v>58.124000000000002</v>
      </c>
      <c r="I39" s="130">
        <f t="shared" si="2"/>
        <v>52.741</v>
      </c>
      <c r="J39" s="130">
        <f t="shared" si="2"/>
        <v>60.658000000000001</v>
      </c>
      <c r="K39" s="130">
        <f t="shared" si="2"/>
        <v>41.515000000000001</v>
      </c>
      <c r="L39" s="130">
        <f t="shared" si="2"/>
        <v>80.123000000000005</v>
      </c>
      <c r="M39" s="130">
        <f t="shared" si="2"/>
        <v>76.644000000000005</v>
      </c>
      <c r="N39" s="130">
        <f t="shared" si="2"/>
        <v>86.411000000000001</v>
      </c>
      <c r="O39" s="130">
        <f t="shared" si="2"/>
        <v>64.247</v>
      </c>
      <c r="P39" s="130">
        <f t="shared" si="2"/>
        <v>100.949</v>
      </c>
      <c r="Q39" s="130">
        <f t="shared" si="2"/>
        <v>96.777000000000001</v>
      </c>
      <c r="R39" s="132"/>
    </row>
    <row r="40" spans="3:18" ht="16.350000000000001" customHeight="1" x14ac:dyDescent="0.25">
      <c r="D40" s="252"/>
      <c r="E40" s="252"/>
      <c r="F40" s="252"/>
      <c r="G40" s="252"/>
      <c r="H40" s="252"/>
      <c r="I40" s="252"/>
      <c r="J40" s="252"/>
      <c r="K40" s="252"/>
      <c r="L40" s="252"/>
      <c r="M40" s="252"/>
      <c r="N40" s="252"/>
      <c r="O40" s="252"/>
      <c r="P40" s="252"/>
      <c r="Q40" s="252"/>
    </row>
    <row r="41" spans="3:18" ht="16.350000000000001" customHeight="1" x14ac:dyDescent="0.25">
      <c r="D41" s="131"/>
      <c r="E41" s="132"/>
      <c r="F41" s="132"/>
      <c r="G41" s="266"/>
      <c r="H41" s="266"/>
      <c r="I41" s="266"/>
      <c r="J41" s="266"/>
      <c r="K41" s="266"/>
      <c r="L41" s="266"/>
      <c r="M41" s="266"/>
      <c r="N41" s="266"/>
      <c r="O41" s="266"/>
      <c r="P41" s="132"/>
      <c r="Q41" s="132"/>
    </row>
    <row r="42" spans="3:18" ht="16.350000000000001" customHeight="1" x14ac:dyDescent="0.25">
      <c r="C42" s="112" t="s">
        <v>139</v>
      </c>
    </row>
    <row r="43" spans="3:18" ht="25.5" customHeight="1" x14ac:dyDescent="0.25">
      <c r="C43" s="4"/>
      <c r="D43" s="170" t="s">
        <v>62</v>
      </c>
      <c r="E43" s="170" t="s">
        <v>72</v>
      </c>
      <c r="F43" s="170" t="s">
        <v>71</v>
      </c>
      <c r="G43" s="170" t="s">
        <v>70</v>
      </c>
      <c r="H43" s="170" t="s">
        <v>66</v>
      </c>
      <c r="I43" s="170" t="s">
        <v>67</v>
      </c>
      <c r="J43" s="170" t="s">
        <v>68</v>
      </c>
      <c r="K43" s="170" t="s">
        <v>69</v>
      </c>
      <c r="L43" s="170" t="s">
        <v>65</v>
      </c>
      <c r="M43" s="170" t="s">
        <v>64</v>
      </c>
      <c r="N43" s="170" t="s">
        <v>63</v>
      </c>
      <c r="O43" s="170" t="s">
        <v>203</v>
      </c>
      <c r="P43" s="170" t="s">
        <v>279</v>
      </c>
      <c r="Q43" s="170" t="s">
        <v>409</v>
      </c>
    </row>
    <row r="44" spans="3:18" ht="15.75" customHeight="1" thickBot="1" x14ac:dyDescent="0.3">
      <c r="C44" s="113" t="s">
        <v>16</v>
      </c>
      <c r="D44" s="114" t="s">
        <v>75</v>
      </c>
      <c r="E44" s="114" t="s">
        <v>76</v>
      </c>
      <c r="F44" s="114" t="s">
        <v>77</v>
      </c>
      <c r="G44" s="114" t="s">
        <v>78</v>
      </c>
      <c r="H44" s="114" t="s">
        <v>79</v>
      </c>
      <c r="I44" s="114" t="s">
        <v>80</v>
      </c>
      <c r="J44" s="114" t="s">
        <v>81</v>
      </c>
      <c r="K44" s="114" t="s">
        <v>82</v>
      </c>
      <c r="L44" s="114" t="s">
        <v>83</v>
      </c>
      <c r="M44" s="114" t="s">
        <v>84</v>
      </c>
      <c r="N44" s="114" t="s">
        <v>85</v>
      </c>
      <c r="O44" s="114" t="s">
        <v>204</v>
      </c>
      <c r="P44" s="114" t="s">
        <v>280</v>
      </c>
      <c r="Q44" s="114" t="s">
        <v>410</v>
      </c>
    </row>
    <row r="45" spans="3:18" ht="16.350000000000001" customHeight="1" thickTop="1" x14ac:dyDescent="0.25">
      <c r="C45" s="115" t="s">
        <v>23</v>
      </c>
      <c r="D45" s="116">
        <v>566.9</v>
      </c>
      <c r="E45" s="116">
        <v>582</v>
      </c>
      <c r="F45" s="116">
        <v>598</v>
      </c>
      <c r="G45" s="116">
        <v>611.29999999999995</v>
      </c>
      <c r="H45" s="116">
        <v>643</v>
      </c>
      <c r="I45" s="116">
        <v>652.6</v>
      </c>
      <c r="J45" s="116">
        <v>665.8</v>
      </c>
      <c r="K45" s="116">
        <v>673.4</v>
      </c>
      <c r="L45" s="116">
        <v>716.7</v>
      </c>
      <c r="M45" s="116">
        <v>731.6</v>
      </c>
      <c r="N45" s="116">
        <v>744.7</v>
      </c>
      <c r="O45" s="116">
        <v>754.8</v>
      </c>
      <c r="P45" s="116">
        <v>797</v>
      </c>
      <c r="Q45" s="116">
        <v>806.59100000000001</v>
      </c>
    </row>
    <row r="46" spans="3:18" ht="16.350000000000001" customHeight="1" x14ac:dyDescent="0.25">
      <c r="C46" s="117" t="s">
        <v>24</v>
      </c>
      <c r="D46" s="118">
        <v>95.4</v>
      </c>
      <c r="E46" s="118">
        <v>94.4</v>
      </c>
      <c r="F46" s="118">
        <v>103.4</v>
      </c>
      <c r="G46" s="118">
        <v>92.8</v>
      </c>
      <c r="H46" s="118">
        <v>93.4</v>
      </c>
      <c r="I46" s="118">
        <v>89.8</v>
      </c>
      <c r="J46" s="118">
        <v>90</v>
      </c>
      <c r="K46" s="118">
        <v>89.1</v>
      </c>
      <c r="L46" s="118">
        <v>95.5</v>
      </c>
      <c r="M46" s="118">
        <v>94.7</v>
      </c>
      <c r="N46" s="118">
        <v>86</v>
      </c>
      <c r="O46" s="118">
        <v>90.7</v>
      </c>
      <c r="P46" s="118">
        <v>98.3</v>
      </c>
      <c r="Q46" s="118">
        <v>90.728999999999999</v>
      </c>
    </row>
    <row r="47" spans="3:18" ht="16.350000000000001" customHeight="1" thickBot="1" x14ac:dyDescent="0.3">
      <c r="C47" s="119" t="s">
        <v>7</v>
      </c>
      <c r="D47" s="120">
        <v>19.8</v>
      </c>
      <c r="E47" s="120">
        <v>21.8</v>
      </c>
      <c r="F47" s="120">
        <v>20.6</v>
      </c>
      <c r="G47" s="120">
        <v>20.6</v>
      </c>
      <c r="H47" s="120">
        <v>21</v>
      </c>
      <c r="I47" s="120">
        <v>23.4</v>
      </c>
      <c r="J47" s="120">
        <v>25.2</v>
      </c>
      <c r="K47" s="120">
        <v>22.9</v>
      </c>
      <c r="L47" s="120">
        <v>22.2</v>
      </c>
      <c r="M47" s="120">
        <v>22.8</v>
      </c>
      <c r="N47" s="120">
        <v>23.1</v>
      </c>
      <c r="O47" s="120">
        <v>24.7</v>
      </c>
      <c r="P47" s="120">
        <v>24.7</v>
      </c>
      <c r="Q47" s="120">
        <v>30.533000000000001</v>
      </c>
    </row>
    <row r="48" spans="3:18" ht="16.350000000000001" customHeight="1" x14ac:dyDescent="0.25">
      <c r="C48" s="129" t="s">
        <v>5</v>
      </c>
      <c r="D48" s="130">
        <v>682</v>
      </c>
      <c r="E48" s="130">
        <v>698.3</v>
      </c>
      <c r="F48" s="130">
        <v>722</v>
      </c>
      <c r="G48" s="130">
        <v>724.7</v>
      </c>
      <c r="H48" s="130">
        <v>757.9</v>
      </c>
      <c r="I48" s="130">
        <v>765.7</v>
      </c>
      <c r="J48" s="130">
        <v>781</v>
      </c>
      <c r="K48" s="130">
        <v>785.4</v>
      </c>
      <c r="L48" s="130">
        <v>834.4</v>
      </c>
      <c r="M48" s="130">
        <v>849.1</v>
      </c>
      <c r="N48" s="130">
        <v>854.3</v>
      </c>
      <c r="O48" s="130">
        <v>870.2</v>
      </c>
      <c r="P48" s="130">
        <v>919.9</v>
      </c>
      <c r="Q48" s="130">
        <v>927.85300000000007</v>
      </c>
    </row>
    <row r="49" spans="3:17" x14ac:dyDescent="0.25">
      <c r="C49" s="246"/>
    </row>
    <row r="50" spans="3:17" x14ac:dyDescent="0.25">
      <c r="C50" s="69" t="s">
        <v>92</v>
      </c>
      <c r="D50" s="134"/>
      <c r="E50" s="134"/>
      <c r="F50" s="134"/>
      <c r="G50" s="134"/>
      <c r="H50" s="134"/>
      <c r="I50" s="134"/>
      <c r="J50" s="134"/>
      <c r="K50" s="134"/>
      <c r="L50" s="134"/>
      <c r="M50" s="134"/>
      <c r="N50" s="134"/>
      <c r="O50" s="134"/>
      <c r="P50" s="134"/>
      <c r="Q50" s="134"/>
    </row>
    <row r="51" spans="3:17" x14ac:dyDescent="0.25">
      <c r="C51" s="201" t="s">
        <v>342</v>
      </c>
      <c r="N51" s="134"/>
      <c r="O51" s="134"/>
      <c r="P51" s="134"/>
      <c r="Q51" s="134"/>
    </row>
    <row r="52" spans="3:17" ht="15" customHeight="1" x14ac:dyDescent="0.25">
      <c r="C52" s="201" t="s">
        <v>343</v>
      </c>
      <c r="D52" s="134"/>
      <c r="E52" s="134"/>
      <c r="F52" s="134"/>
      <c r="G52" s="134"/>
      <c r="H52" s="134"/>
      <c r="I52" s="134"/>
      <c r="J52" s="134"/>
      <c r="K52" s="134"/>
      <c r="L52" s="134"/>
      <c r="M52" s="134"/>
    </row>
    <row r="53" spans="3:17" s="248" customFormat="1" ht="15" customHeight="1" x14ac:dyDescent="0.25">
      <c r="C53" s="306" t="s">
        <v>344</v>
      </c>
      <c r="D53" s="306"/>
      <c r="E53" s="306"/>
      <c r="F53" s="306"/>
      <c r="G53" s="306"/>
      <c r="H53" s="306"/>
      <c r="I53" s="306"/>
      <c r="J53" s="306"/>
      <c r="K53" s="306"/>
      <c r="L53" s="306"/>
      <c r="M53" s="306"/>
      <c r="N53" s="306"/>
      <c r="O53" s="306"/>
      <c r="P53" s="306"/>
      <c r="Q53" s="268"/>
    </row>
  </sheetData>
  <mergeCells count="1">
    <mergeCell ref="C53:P53"/>
  </mergeCells>
  <pageMargins left="0.7" right="0.7" top="0.75" bottom="0.75" header="0.3" footer="0.3"/>
  <pageSetup paperSize="9" scale="61" fitToHeight="0" orientation="landscape" r:id="rId1"/>
  <rowBreaks count="1" manualBreakCount="1">
    <brk id="41"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5" ma:contentTypeDescription="Create a new document." ma:contentTypeScope="" ma:versionID="e6c499eb6378710f3e6df423c7687c0b">
  <xsd:schema xmlns:xsd="http://www.w3.org/2001/XMLSchema" xmlns:xs="http://www.w3.org/2001/XMLSchema" xmlns:p="http://schemas.microsoft.com/office/2006/metadata/properties" xmlns:ns2="d85eb324-77c5-419e-a2a3-8c49df81c725" targetNamespace="http://schemas.microsoft.com/office/2006/metadata/properties" ma:root="true" ma:fieldsID="2f96e240d91822ec32cf4676a3270c15"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customXml/itemProps2.xml><?xml version="1.0" encoding="utf-8"?>
<ds:datastoreItem xmlns:ds="http://schemas.openxmlformats.org/officeDocument/2006/customXml" ds:itemID="{5C6C8A31-FD69-4311-B66A-8A62D8F31943}">
  <ds:schemaRefs>
    <ds:schemaRef ds:uri="http://schemas.microsoft.com/sharepoint/v3/contenttype/forms"/>
  </ds:schemaRefs>
</ds:datastoreItem>
</file>

<file path=customXml/itemProps3.xml><?xml version="1.0" encoding="utf-8"?>
<ds:datastoreItem xmlns:ds="http://schemas.openxmlformats.org/officeDocument/2006/customXml" ds:itemID="{5A20139C-9419-4AD1-BE19-71FEE1BF7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Alejandro Calvo</cp:lastModifiedBy>
  <cp:lastPrinted>2025-08-21T06:01:47Z</cp:lastPrinted>
  <dcterms:created xsi:type="dcterms:W3CDTF">2020-09-07T09:02:19Z</dcterms:created>
  <dcterms:modified xsi:type="dcterms:W3CDTF">2025-08-21T06:01:55Z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